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i beszámoló\KÉSZ táblák\"/>
    </mc:Choice>
  </mc:AlternateContent>
  <xr:revisionPtr revIDLastSave="0" documentId="13_ncr:1_{41BC990D-C6FD-489B-AE90-02AF3736A113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FELADATOS CSOPORTOSÍTÁS" sheetId="4" r:id="rId1"/>
  </sheets>
  <definedNames>
    <definedName name="_xlnm.Print_Titles" localSheetId="0">'FELADATOS CSOPORTOSÍTÁS'!$3:$6</definedName>
    <definedName name="_xlnm.Print_Area" localSheetId="0">'FELADATOS CSOPORTOSÍTÁS'!$A$1:$F$94</definedName>
  </definedNames>
  <calcPr calcId="191029"/>
</workbook>
</file>

<file path=xl/calcChain.xml><?xml version="1.0" encoding="utf-8"?>
<calcChain xmlns="http://schemas.openxmlformats.org/spreadsheetml/2006/main">
  <c r="B75" i="4" l="1"/>
  <c r="F79" i="4" l="1"/>
  <c r="B76" i="4" l="1"/>
  <c r="B73" i="4" s="1"/>
  <c r="B77" i="4"/>
  <c r="B47" i="4" l="1"/>
  <c r="D47" i="4" s="1"/>
  <c r="B48" i="4"/>
  <c r="B49" i="4"/>
  <c r="C44" i="4"/>
  <c r="B46" i="4"/>
  <c r="C52" i="4" l="1"/>
  <c r="D53" i="4"/>
  <c r="B44" i="4"/>
  <c r="B57" i="4"/>
  <c r="C67" i="4" l="1"/>
  <c r="F72" i="4"/>
  <c r="B72" i="4"/>
  <c r="B68" i="4"/>
  <c r="B67" i="4" s="1"/>
  <c r="B54" i="4" l="1"/>
  <c r="D58" i="4"/>
  <c r="F58" i="4" s="1"/>
  <c r="F61" i="4"/>
  <c r="F60" i="4"/>
  <c r="B61" i="4"/>
  <c r="B59" i="4"/>
  <c r="B38" i="4" l="1"/>
  <c r="B34" i="4"/>
  <c r="C13" i="4" l="1"/>
  <c r="F22" i="4"/>
  <c r="B21" i="4"/>
  <c r="B17" i="4"/>
  <c r="B28" i="4"/>
  <c r="B27" i="4"/>
  <c r="B26" i="4"/>
  <c r="B20" i="4" l="1"/>
  <c r="B13" i="4" s="1"/>
  <c r="E8" i="4" l="1"/>
  <c r="D8" i="4" s="1"/>
  <c r="E16" i="4"/>
  <c r="D16" i="4" s="1"/>
  <c r="E15" i="4"/>
  <c r="D15" i="4" s="1"/>
  <c r="E68" i="4" l="1"/>
  <c r="E14" i="4"/>
  <c r="E9" i="4"/>
  <c r="E24" i="4"/>
  <c r="D24" i="4" s="1"/>
  <c r="E45" i="4"/>
  <c r="E32" i="4"/>
  <c r="D32" i="4" s="1"/>
  <c r="E44" i="4" l="1"/>
  <c r="D45" i="4"/>
  <c r="E13" i="4"/>
  <c r="D14" i="4"/>
  <c r="E67" i="4"/>
  <c r="D68" i="4"/>
  <c r="D67" i="4" s="1"/>
  <c r="B9" i="4"/>
  <c r="D9" i="4" s="1"/>
  <c r="D44" i="4" l="1"/>
  <c r="F44" i="4" s="1"/>
  <c r="F45" i="4"/>
  <c r="F49" i="4"/>
  <c r="F70" i="4"/>
  <c r="E63" i="4" l="1"/>
  <c r="C63" i="4"/>
  <c r="D92" i="4" l="1"/>
  <c r="F92" i="4" s="1"/>
  <c r="D91" i="4"/>
  <c r="F91" i="4" s="1"/>
  <c r="F69" i="4"/>
  <c r="D57" i="4"/>
  <c r="F57" i="4" s="1"/>
  <c r="F55" i="4"/>
  <c r="F53" i="4"/>
  <c r="F48" i="4"/>
  <c r="F47" i="4"/>
  <c r="F46" i="4"/>
  <c r="D29" i="4"/>
  <c r="F29" i="4" s="1"/>
  <c r="D28" i="4"/>
  <c r="F28" i="4" s="1"/>
  <c r="D27" i="4"/>
  <c r="F27" i="4" s="1"/>
  <c r="D20" i="4"/>
  <c r="F20" i="4" s="1"/>
  <c r="D89" i="4"/>
  <c r="F89" i="4" s="1"/>
  <c r="F80" i="4"/>
  <c r="D75" i="4"/>
  <c r="F75" i="4" s="1"/>
  <c r="D40" i="4"/>
  <c r="F40" i="4" s="1"/>
  <c r="F16" i="4"/>
  <c r="F8" i="4"/>
  <c r="C73" i="4"/>
  <c r="F68" i="4"/>
  <c r="F24" i="4"/>
  <c r="F17" i="4"/>
  <c r="F14" i="4"/>
  <c r="C56" i="4"/>
  <c r="B56" i="4"/>
  <c r="D38" i="4"/>
  <c r="F38" i="4" s="1"/>
  <c r="D21" i="4"/>
  <c r="F21" i="4" s="1"/>
  <c r="B37" i="4"/>
  <c r="D41" i="4"/>
  <c r="F41" i="4" s="1"/>
  <c r="D87" i="4"/>
  <c r="F87" i="4" s="1"/>
  <c r="D88" i="4"/>
  <c r="F88" i="4" s="1"/>
  <c r="B31" i="4"/>
  <c r="F32" i="4"/>
  <c r="B23" i="4"/>
  <c r="D18" i="4"/>
  <c r="D19" i="4"/>
  <c r="F19" i="4" s="1"/>
  <c r="F77" i="4"/>
  <c r="F78" i="4"/>
  <c r="F34" i="4"/>
  <c r="F15" i="4"/>
  <c r="D81" i="4"/>
  <c r="D74" i="4"/>
  <c r="F74" i="4" s="1"/>
  <c r="D64" i="4"/>
  <c r="F64" i="4" s="1"/>
  <c r="D62" i="4"/>
  <c r="F62" i="4" s="1"/>
  <c r="D59" i="4"/>
  <c r="F59" i="4" s="1"/>
  <c r="F50" i="4"/>
  <c r="D43" i="4"/>
  <c r="F43" i="4" s="1"/>
  <c r="D42" i="4"/>
  <c r="F42" i="4" s="1"/>
  <c r="D39" i="4"/>
  <c r="F39" i="4" s="1"/>
  <c r="D36" i="4"/>
  <c r="F36" i="4" s="1"/>
  <c r="D35" i="4"/>
  <c r="F35" i="4" s="1"/>
  <c r="F33" i="4"/>
  <c r="F30" i="4"/>
  <c r="D26" i="4"/>
  <c r="F26" i="4" s="1"/>
  <c r="F25" i="4"/>
  <c r="F9" i="4"/>
  <c r="D10" i="4"/>
  <c r="F10" i="4" s="1"/>
  <c r="D11" i="4"/>
  <c r="F11" i="4" s="1"/>
  <c r="F12" i="4"/>
  <c r="E93" i="4"/>
  <c r="C7" i="4"/>
  <c r="F71" i="4"/>
  <c r="F66" i="4"/>
  <c r="F90" i="4"/>
  <c r="D65" i="4"/>
  <c r="F65" i="4" s="1"/>
  <c r="E23" i="4"/>
  <c r="E56" i="4"/>
  <c r="E52" i="4"/>
  <c r="E37" i="4"/>
  <c r="C31" i="4"/>
  <c r="B63" i="4"/>
  <c r="B7" i="4"/>
  <c r="C23" i="4"/>
  <c r="C37" i="4"/>
  <c r="E31" i="4"/>
  <c r="B52" i="4"/>
  <c r="F76" i="4"/>
  <c r="E73" i="4"/>
  <c r="E7" i="4"/>
  <c r="F81" i="4" l="1"/>
  <c r="D73" i="4"/>
  <c r="F73" i="4" s="1"/>
  <c r="F18" i="4"/>
  <c r="D13" i="4"/>
  <c r="F13" i="4" s="1"/>
  <c r="D63" i="4"/>
  <c r="F63" i="4" s="1"/>
  <c r="D52" i="4"/>
  <c r="F52" i="4" s="1"/>
  <c r="D37" i="4"/>
  <c r="F37" i="4" s="1"/>
  <c r="F67" i="4"/>
  <c r="D23" i="4"/>
  <c r="F23" i="4" s="1"/>
  <c r="D93" i="4"/>
  <c r="F93" i="4" s="1"/>
  <c r="E94" i="4"/>
  <c r="F54" i="4"/>
  <c r="C94" i="4"/>
  <c r="D56" i="4"/>
  <c r="F56" i="4" s="1"/>
  <c r="D31" i="4"/>
  <c r="F31" i="4" s="1"/>
  <c r="B94" i="4"/>
  <c r="D7" i="4"/>
  <c r="F7" i="4" l="1"/>
  <c r="D94" i="4"/>
  <c r="F94" i="4" s="1"/>
</calcChain>
</file>

<file path=xl/sharedStrings.xml><?xml version="1.0" encoding="utf-8"?>
<sst xmlns="http://schemas.openxmlformats.org/spreadsheetml/2006/main" count="74" uniqueCount="74">
  <si>
    <t xml:space="preserve">Köznevelési feladatok </t>
  </si>
  <si>
    <t>Településfejlesztési, településüzemeltetési feladatok</t>
  </si>
  <si>
    <t>Szociális feladatok</t>
  </si>
  <si>
    <t>Egészségügyi feladatok</t>
  </si>
  <si>
    <t>Sport és ifjúsági feladatok</t>
  </si>
  <si>
    <t>Közbiztonsági feladatok</t>
  </si>
  <si>
    <t>adatok eFt-ban</t>
  </si>
  <si>
    <t>önkormányzati támogatás</t>
  </si>
  <si>
    <t>összesen</t>
  </si>
  <si>
    <t>Igazgatási feladatok</t>
  </si>
  <si>
    <t>Közművelődési, kulturális feladatok</t>
  </si>
  <si>
    <t>Tartalékok</t>
  </si>
  <si>
    <t>saját bevétel</t>
  </si>
  <si>
    <t>Feladatok megnevezése</t>
  </si>
  <si>
    <t>Lakás- és egyéb vagyongazdálkodás</t>
  </si>
  <si>
    <t>Nemzetiségi feladatok</t>
  </si>
  <si>
    <t>Egyéb önkormányzati feladatok</t>
  </si>
  <si>
    <t>MINDÖSSZESEN:</t>
  </si>
  <si>
    <t>Irányító szervi szervi támogatás                                                                 Központi költségvetési támogatás</t>
  </si>
  <si>
    <t>Konszolidálás irányító szervi támogatással</t>
  </si>
  <si>
    <t>állami/NEAK/ egyéb államháztartáson                belüli támogatás</t>
  </si>
  <si>
    <t xml:space="preserve"> Iskolai, óvodai felújítások </t>
  </si>
  <si>
    <t>az előterjesztés 3. melléklete</t>
  </si>
  <si>
    <t>Budapest Főváros XIV. Kerület Zugló Önkormányzata 2024. évi kiadásainak feladatonkénti bemutatása</t>
  </si>
  <si>
    <t>2024. évi kiadások teljesítése</t>
  </si>
  <si>
    <t>2024. évi bevételek teljesítése</t>
  </si>
  <si>
    <t>Óvodák</t>
  </si>
  <si>
    <t>Iskolai étkezés</t>
  </si>
  <si>
    <t>Zuglói Egyesített Bölcsődék</t>
  </si>
  <si>
    <t>Zuglói Család-és Gyermekjóléti Központ</t>
  </si>
  <si>
    <t>Zuglói Szociális Szolgáltató Központ</t>
  </si>
  <si>
    <t>Idősügyi és gyermekjóléti kerekasztalok</t>
  </si>
  <si>
    <t>Ellátási szerződések</t>
  </si>
  <si>
    <t>Esélyegyenlőségi programok kerete</t>
  </si>
  <si>
    <t>Lakossági támogatások rászorultság alapján</t>
  </si>
  <si>
    <t>Zuglói Egészségügyi Szolgálat</t>
  </si>
  <si>
    <t>Lisztérzékenységi szűrővizsgálat</t>
  </si>
  <si>
    <t>Drogellenes programok, drogprevenció, Kábítószer Egyeztető Fórum</t>
  </si>
  <si>
    <t>Védőoltásokhoz kapcsolódó kiadások</t>
  </si>
  <si>
    <t>Háziorvosok költségcsökkentéséhez kapcsolódó támogatások, praxiskezdési támogatások</t>
  </si>
  <si>
    <t>Zuglói Cserepes Kulturális Non-profit Kft.</t>
  </si>
  <si>
    <t>Cserepes rendezvénynaptár költségeti</t>
  </si>
  <si>
    <t>Testvérvárosi kiadások</t>
  </si>
  <si>
    <t>Zuglói Sport- és Rendezvényszervező Non-profit Kft.</t>
  </si>
  <si>
    <t>Rendezvénynaptár költségei-Zuglói Sport és Rendezvényszervező Non-profit Kft.</t>
  </si>
  <si>
    <t>Sport kitüntetések, jutalmak</t>
  </si>
  <si>
    <t>Egyéb sport feladatok (nyugdíja és munkavállalói úszás)</t>
  </si>
  <si>
    <t>Utak, közterek, zöldfelületek (Zuglói Városgazdálkodási Közszolgálatási Zrt.)</t>
  </si>
  <si>
    <t>Fizető parkolás</t>
  </si>
  <si>
    <t>Pályázati projektek</t>
  </si>
  <si>
    <t>Főmérnökséghez kapcsolódó feladatok</t>
  </si>
  <si>
    <t>Környezetvédelmi feladatok</t>
  </si>
  <si>
    <t>Faültetési programok kiadásai</t>
  </si>
  <si>
    <t>Főépítészi feladatok</t>
  </si>
  <si>
    <t>Zuglói Zrt. Ingatlangazdálkodási feladatok</t>
  </si>
  <si>
    <t>Lakásgazdálkodási, ingatlangazdálkodási feladatok</t>
  </si>
  <si>
    <t>Zuglói Közbiztonsági Non-Profit Kft.</t>
  </si>
  <si>
    <t>Közterület felügyelet (Zuglói Önkormányzati Rendészet)</t>
  </si>
  <si>
    <t>Rendőrség támogatása</t>
  </si>
  <si>
    <t>Közrend, közbiztonság, polgári védelem</t>
  </si>
  <si>
    <t>Kerületi kitüntetések díjak (Hónap rendőre, Zuglóért emlékérem, rendőrségi jutalom)</t>
  </si>
  <si>
    <t>Nemzetiségi önkormányzatok támogatása</t>
  </si>
  <si>
    <t>Nemzetiségi Alap program</t>
  </si>
  <si>
    <t>Polgármesteri Hivatal</t>
  </si>
  <si>
    <t>Képviselő-testületi feladatok kiadásai (tiszteletdíjak, költségtérítések, járulékok)</t>
  </si>
  <si>
    <t>Adófeladatok</t>
  </si>
  <si>
    <t>Önkormányzati jogi, hatósági , igazgatási feladatok</t>
  </si>
  <si>
    <t>Közkapocsolati feladatok</t>
  </si>
  <si>
    <t>Különböző önkormányzati feladatok (pénzügyi, egyéb elszámolási feladatok)</t>
  </si>
  <si>
    <t>Kerületi kitüntetések</t>
  </si>
  <si>
    <t>Civil szervezetetk, egyházak, alapítványok, támogatások, rendezvények</t>
  </si>
  <si>
    <r>
      <t xml:space="preserve">Finanszírozási feladatok                                                                     </t>
    </r>
    <r>
      <rPr>
        <sz val="18"/>
        <color indexed="8"/>
        <rFont val="Times New Roman"/>
        <family val="1"/>
        <charset val="238"/>
      </rPr>
      <t>(államháztartáson belüli megelőlegezések visszafizetése)</t>
    </r>
  </si>
  <si>
    <t>Szolidaritási hozzájárulás</t>
  </si>
  <si>
    <t>Üzemeltetési kiadások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</si>
</sst>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F_t_-;\-* #,##0.00\ _F_t_-;_-* &quot;-&quot;??\ _F_t_-;_-@_-"/>
    <numFmt numFmtId="164" formatCode="#,##0_ ;[Red]\-#,##0\ "/>
  </numFmts>
  <fonts count="15" x14ac:knownFonts="1">
    <font>
      <sz val="11"/>
      <color theme="1"/>
      <name val="Calibri"/>
      <family val="2"/>
      <charset val="238"/>
      <scheme val="minor"/>
    </font>
    <font>
      <sz val="18"/>
      <color indexed="8"/>
      <name val="Times New Roman"/>
      <family val="1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2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wrapText="1"/>
    </xf>
    <xf numFmtId="164" fontId="4" fillId="0" borderId="0" xfId="1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4" fontId="4" fillId="2" borderId="0" xfId="1" applyNumberFormat="1" applyFont="1" applyFill="1"/>
    <xf numFmtId="164" fontId="8" fillId="0" borderId="1" xfId="1" applyNumberFormat="1" applyFont="1" applyFill="1" applyBorder="1"/>
    <xf numFmtId="164" fontId="9" fillId="3" borderId="1" xfId="1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wrapText="1" indent="3"/>
    </xf>
    <xf numFmtId="0" fontId="9" fillId="3" borderId="2" xfId="0" applyFont="1" applyFill="1" applyBorder="1" applyAlignment="1">
      <alignment horizontal="center" vertical="center" wrapText="1"/>
    </xf>
    <xf numFmtId="0" fontId="4" fillId="0" borderId="0" xfId="0" applyFont="1" applyBorder="1"/>
    <xf numFmtId="0" fontId="7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64" fontId="9" fillId="0" borderId="3" xfId="1" applyNumberFormat="1" applyFont="1" applyFill="1" applyBorder="1"/>
    <xf numFmtId="164" fontId="9" fillId="3" borderId="3" xfId="1" applyNumberFormat="1" applyFont="1" applyFill="1" applyBorder="1"/>
    <xf numFmtId="0" fontId="4" fillId="0" borderId="0" xfId="0" applyFont="1" applyBorder="1" applyAlignment="1">
      <alignment wrapText="1"/>
    </xf>
    <xf numFmtId="164" fontId="4" fillId="0" borderId="0" xfId="1" applyNumberFormat="1" applyFont="1" applyBorder="1"/>
    <xf numFmtId="164" fontId="10" fillId="4" borderId="4" xfId="1" applyNumberFormat="1" applyFont="1" applyFill="1" applyBorder="1" applyAlignment="1">
      <alignment horizontal="center" vertical="center" wrapText="1"/>
    </xf>
    <xf numFmtId="164" fontId="10" fillId="4" borderId="6" xfId="1" applyNumberFormat="1" applyFont="1" applyFill="1" applyBorder="1" applyAlignment="1">
      <alignment horizontal="right" vertical="center"/>
    </xf>
    <xf numFmtId="164" fontId="10" fillId="4" borderId="4" xfId="1" applyNumberFormat="1" applyFont="1" applyFill="1" applyBorder="1" applyAlignment="1">
      <alignment horizontal="right" vertical="center"/>
    </xf>
    <xf numFmtId="164" fontId="11" fillId="0" borderId="0" xfId="1" applyNumberFormat="1" applyFont="1"/>
    <xf numFmtId="164" fontId="10" fillId="0" borderId="0" xfId="1" applyNumberFormat="1" applyFont="1" applyBorder="1" applyAlignment="1">
      <alignment horizontal="right" vertical="center"/>
    </xf>
    <xf numFmtId="164" fontId="10" fillId="0" borderId="0" xfId="1" applyNumberFormat="1" applyFont="1" applyBorder="1" applyAlignment="1">
      <alignment horizontal="right"/>
    </xf>
    <xf numFmtId="0" fontId="7" fillId="0" borderId="0" xfId="0" applyFont="1" applyFill="1"/>
    <xf numFmtId="0" fontId="4" fillId="0" borderId="0" xfId="0" applyFont="1" applyFill="1"/>
    <xf numFmtId="0" fontId="4" fillId="0" borderId="0" xfId="0" applyFont="1" applyFill="1" applyBorder="1"/>
    <xf numFmtId="0" fontId="7" fillId="0" borderId="0" xfId="0" applyFont="1" applyFill="1" applyBorder="1"/>
    <xf numFmtId="0" fontId="8" fillId="0" borderId="2" xfId="0" applyFont="1" applyFill="1" applyBorder="1" applyAlignment="1">
      <alignment wrapText="1"/>
    </xf>
    <xf numFmtId="164" fontId="9" fillId="5" borderId="8" xfId="1" applyNumberFormat="1" applyFont="1" applyFill="1" applyBorder="1"/>
    <xf numFmtId="164" fontId="9" fillId="5" borderId="9" xfId="1" applyNumberFormat="1" applyFont="1" applyFill="1" applyBorder="1"/>
    <xf numFmtId="0" fontId="9" fillId="5" borderId="2" xfId="0" applyFont="1" applyFill="1" applyBorder="1" applyAlignment="1">
      <alignment horizontal="center" wrapText="1"/>
    </xf>
    <xf numFmtId="164" fontId="9" fillId="5" borderId="1" xfId="1" applyNumberFormat="1" applyFont="1" applyFill="1" applyBorder="1"/>
    <xf numFmtId="164" fontId="9" fillId="5" borderId="3" xfId="1" applyNumberFormat="1" applyFont="1" applyFill="1" applyBorder="1"/>
    <xf numFmtId="164" fontId="9" fillId="5" borderId="1" xfId="1" applyNumberFormat="1" applyFont="1" applyFill="1" applyBorder="1" applyAlignment="1">
      <alignment horizontal="right"/>
    </xf>
    <xf numFmtId="0" fontId="9" fillId="5" borderId="2" xfId="0" applyFont="1" applyFill="1" applyBorder="1" applyAlignment="1">
      <alignment horizontal="center" vertical="center" wrapText="1"/>
    </xf>
    <xf numFmtId="164" fontId="9" fillId="5" borderId="11" xfId="1" applyNumberFormat="1" applyFont="1" applyFill="1" applyBorder="1" applyAlignment="1">
      <alignment horizontal="right"/>
    </xf>
    <xf numFmtId="164" fontId="9" fillId="5" borderId="12" xfId="1" applyNumberFormat="1" applyFont="1" applyFill="1" applyBorder="1"/>
    <xf numFmtId="164" fontId="7" fillId="0" borderId="0" xfId="0" applyNumberFormat="1" applyFont="1" applyAlignment="1">
      <alignment vertical="center"/>
    </xf>
    <xf numFmtId="164" fontId="4" fillId="0" borderId="0" xfId="0" applyNumberFormat="1" applyFont="1" applyFill="1"/>
    <xf numFmtId="164" fontId="7" fillId="0" borderId="0" xfId="0" applyNumberFormat="1" applyFont="1" applyFill="1"/>
    <xf numFmtId="3" fontId="4" fillId="0" borderId="0" xfId="0" applyNumberFormat="1" applyFont="1" applyFill="1"/>
    <xf numFmtId="3" fontId="7" fillId="0" borderId="0" xfId="0" applyNumberFormat="1" applyFont="1" applyFill="1"/>
    <xf numFmtId="0" fontId="12" fillId="0" borderId="0" xfId="0" applyFont="1" applyFill="1"/>
    <xf numFmtId="3" fontId="11" fillId="0" borderId="0" xfId="0" applyNumberFormat="1" applyFont="1" applyFill="1"/>
    <xf numFmtId="164" fontId="2" fillId="5" borderId="1" xfId="1" applyNumberFormat="1" applyFont="1" applyFill="1" applyBorder="1" applyAlignment="1">
      <alignment horizontal="right"/>
    </xf>
    <xf numFmtId="0" fontId="8" fillId="0" borderId="2" xfId="0" applyFont="1" applyFill="1" applyBorder="1" applyAlignment="1">
      <alignment horizontal="left" indent="3"/>
    </xf>
    <xf numFmtId="0" fontId="8" fillId="0" borderId="2" xfId="0" applyFont="1" applyBorder="1" applyAlignment="1">
      <alignment horizontal="left" indent="3"/>
    </xf>
    <xf numFmtId="0" fontId="9" fillId="5" borderId="10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10" fillId="4" borderId="5" xfId="0" applyFont="1" applyFill="1" applyBorder="1" applyAlignment="1">
      <alignment horizontal="left" vertical="center"/>
    </xf>
    <xf numFmtId="164" fontId="4" fillId="0" borderId="0" xfId="0" applyNumberFormat="1" applyFont="1" applyFill="1" applyBorder="1"/>
    <xf numFmtId="164" fontId="14" fillId="0" borderId="0" xfId="0" applyNumberFormat="1" applyFont="1" applyFill="1"/>
    <xf numFmtId="164" fontId="6" fillId="0" borderId="0" xfId="0" applyNumberFormat="1" applyFont="1" applyAlignment="1">
      <alignment horizontal="center" vertical="center" wrapText="1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164" fontId="10" fillId="4" borderId="13" xfId="1" applyNumberFormat="1" applyFont="1" applyFill="1" applyBorder="1" applyAlignment="1">
      <alignment horizontal="center" vertical="center" wrapText="1"/>
    </xf>
    <xf numFmtId="164" fontId="10" fillId="4" borderId="14" xfId="1" applyNumberFormat="1" applyFont="1" applyFill="1" applyBorder="1" applyAlignment="1">
      <alignment horizontal="center" vertical="center" wrapText="1"/>
    </xf>
    <xf numFmtId="164" fontId="10" fillId="4" borderId="15" xfId="1" applyNumberFormat="1" applyFont="1" applyFill="1" applyBorder="1" applyAlignment="1">
      <alignment horizontal="center" vertical="center"/>
    </xf>
    <xf numFmtId="164" fontId="10" fillId="4" borderId="16" xfId="1" applyNumberFormat="1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1"/>
  <sheetViews>
    <sheetView tabSelected="1" view="pageBreakPreview" topLeftCell="A14" zoomScale="70" zoomScaleNormal="70" zoomScaleSheetLayoutView="70" workbookViewId="0">
      <selection activeCell="B77" sqref="B77"/>
    </sheetView>
  </sheetViews>
  <sheetFormatPr defaultColWidth="9.140625" defaultRowHeight="15" x14ac:dyDescent="0.25"/>
  <cols>
    <col min="1" max="1" width="92.85546875" style="1" customWidth="1"/>
    <col min="2" max="2" width="44.42578125" style="2" customWidth="1"/>
    <col min="3" max="3" width="26.7109375" style="2" customWidth="1"/>
    <col min="4" max="4" width="40.140625" style="2" customWidth="1"/>
    <col min="5" max="5" width="41.28515625" style="2" customWidth="1"/>
    <col min="6" max="6" width="44.42578125" style="2" customWidth="1"/>
    <col min="7" max="7" width="30.42578125" style="3" customWidth="1"/>
    <col min="8" max="8" width="14.7109375" style="3" customWidth="1"/>
    <col min="9" max="9" width="10.140625" style="3" bestFit="1" customWidth="1"/>
    <col min="10" max="10" width="24.28515625" style="3" customWidth="1"/>
    <col min="11" max="11" width="12" style="3" customWidth="1"/>
    <col min="12" max="16384" width="9.140625" style="3"/>
  </cols>
  <sheetData>
    <row r="1" spans="1:11" ht="45" customHeight="1" x14ac:dyDescent="0.25">
      <c r="A1" s="19"/>
      <c r="B1" s="20"/>
      <c r="C1" s="20"/>
      <c r="D1" s="20"/>
      <c r="E1" s="20"/>
      <c r="F1" s="25" t="s">
        <v>22</v>
      </c>
    </row>
    <row r="2" spans="1:11" s="4" customFormat="1" ht="118.5" customHeight="1" x14ac:dyDescent="0.4">
      <c r="A2" s="60" t="s">
        <v>23</v>
      </c>
      <c r="B2" s="60"/>
      <c r="C2" s="60"/>
      <c r="D2" s="60"/>
      <c r="E2" s="60"/>
      <c r="F2" s="60"/>
    </row>
    <row r="3" spans="1:11" ht="8.25" customHeight="1" x14ac:dyDescent="0.25">
      <c r="A3" s="19"/>
      <c r="B3" s="20"/>
      <c r="C3" s="20"/>
      <c r="D3" s="20"/>
      <c r="E3" s="20"/>
      <c r="F3" s="20"/>
    </row>
    <row r="4" spans="1:11" ht="26.25" thickBot="1" x14ac:dyDescent="0.4">
      <c r="A4" s="19"/>
      <c r="B4" s="20"/>
      <c r="C4" s="20"/>
      <c r="D4" s="20"/>
      <c r="E4" s="20"/>
      <c r="F4" s="26" t="s">
        <v>6</v>
      </c>
    </row>
    <row r="5" spans="1:11" s="5" customFormat="1" ht="28.5" customHeight="1" thickBot="1" x14ac:dyDescent="0.3">
      <c r="A5" s="65" t="s">
        <v>13</v>
      </c>
      <c r="B5" s="61" t="s">
        <v>24</v>
      </c>
      <c r="C5" s="63" t="s">
        <v>25</v>
      </c>
      <c r="D5" s="63"/>
      <c r="E5" s="63"/>
      <c r="F5" s="64"/>
    </row>
    <row r="6" spans="1:11" s="6" customFormat="1" ht="77.25" thickBot="1" x14ac:dyDescent="0.3">
      <c r="A6" s="66"/>
      <c r="B6" s="62"/>
      <c r="C6" s="21" t="s">
        <v>12</v>
      </c>
      <c r="D6" s="21" t="s">
        <v>7</v>
      </c>
      <c r="E6" s="21" t="s">
        <v>20</v>
      </c>
      <c r="F6" s="21" t="s">
        <v>8</v>
      </c>
      <c r="G6" s="57"/>
    </row>
    <row r="7" spans="1:11" s="27" customFormat="1" ht="24.75" customHeight="1" x14ac:dyDescent="0.3">
      <c r="A7" s="52" t="s">
        <v>0</v>
      </c>
      <c r="B7" s="32">
        <f>SUM(B8:B12)</f>
        <v>8069220</v>
      </c>
      <c r="C7" s="32">
        <f>SUM(C8:C12)</f>
        <v>1100729</v>
      </c>
      <c r="D7" s="32">
        <f>SUM(D8:D12)</f>
        <v>2295154</v>
      </c>
      <c r="E7" s="32">
        <f>SUM(E8:E12)</f>
        <v>4673337</v>
      </c>
      <c r="F7" s="33">
        <f>+C7+D7+E7</f>
        <v>8069220</v>
      </c>
      <c r="H7" s="43"/>
      <c r="J7" s="43"/>
    </row>
    <row r="8" spans="1:11" s="28" customFormat="1" ht="23.25" x14ac:dyDescent="0.35">
      <c r="A8" s="49" t="s">
        <v>26</v>
      </c>
      <c r="B8" s="10">
        <v>5757280</v>
      </c>
      <c r="C8" s="10">
        <v>256316</v>
      </c>
      <c r="D8" s="10">
        <f>B8-C8-E8</f>
        <v>1705493</v>
      </c>
      <c r="E8" s="10">
        <f>3406674+388304+493</f>
        <v>3795471</v>
      </c>
      <c r="F8" s="17">
        <f t="shared" ref="F8:F88" si="0">+C8+D8+E8</f>
        <v>5757280</v>
      </c>
      <c r="H8" s="56"/>
      <c r="I8" s="44"/>
    </row>
    <row r="9" spans="1:11" s="28" customFormat="1" ht="23.25" x14ac:dyDescent="0.35">
      <c r="A9" s="49" t="s">
        <v>27</v>
      </c>
      <c r="B9" s="10">
        <f>2311940</f>
        <v>2311940</v>
      </c>
      <c r="C9" s="10">
        <v>844413</v>
      </c>
      <c r="D9" s="10">
        <f>B9-C9-E9</f>
        <v>589661</v>
      </c>
      <c r="E9" s="10">
        <f>877866</f>
        <v>877866</v>
      </c>
      <c r="F9" s="17">
        <f t="shared" si="0"/>
        <v>2311940</v>
      </c>
      <c r="J9" s="42"/>
    </row>
    <row r="10" spans="1:11" s="28" customFormat="1" ht="23.25" hidden="1" x14ac:dyDescent="0.35">
      <c r="A10" s="12"/>
      <c r="B10" s="10"/>
      <c r="C10" s="10"/>
      <c r="D10" s="10">
        <f>+B10-C10-E10</f>
        <v>0</v>
      </c>
      <c r="E10" s="10">
        <v>0</v>
      </c>
      <c r="F10" s="17">
        <f t="shared" si="0"/>
        <v>0</v>
      </c>
    </row>
    <row r="11" spans="1:11" s="28" customFormat="1" ht="23.25" hidden="1" x14ac:dyDescent="0.35">
      <c r="A11" s="12"/>
      <c r="B11" s="10"/>
      <c r="C11" s="10"/>
      <c r="D11" s="10">
        <f>+B11-C11-E11</f>
        <v>0</v>
      </c>
      <c r="E11" s="10"/>
      <c r="F11" s="17">
        <f t="shared" si="0"/>
        <v>0</v>
      </c>
      <c r="J11" s="42"/>
    </row>
    <row r="12" spans="1:11" s="28" customFormat="1" ht="23.25" hidden="1" x14ac:dyDescent="0.35">
      <c r="A12" s="12" t="s">
        <v>21</v>
      </c>
      <c r="B12" s="10"/>
      <c r="C12" s="10"/>
      <c r="D12" s="10"/>
      <c r="E12" s="10"/>
      <c r="F12" s="17">
        <f t="shared" si="0"/>
        <v>0</v>
      </c>
    </row>
    <row r="13" spans="1:11" s="27" customFormat="1" ht="25.5" customHeight="1" x14ac:dyDescent="0.3">
      <c r="A13" s="53" t="s">
        <v>2</v>
      </c>
      <c r="B13" s="35">
        <f>SUM(B14:B22)</f>
        <v>5630983</v>
      </c>
      <c r="C13" s="35">
        <f>SUM(C14:C22)</f>
        <v>393853</v>
      </c>
      <c r="D13" s="35">
        <f>SUM(D14:D22)</f>
        <v>2231578</v>
      </c>
      <c r="E13" s="35">
        <f>SUM(E14:E22)</f>
        <v>3005552</v>
      </c>
      <c r="F13" s="36">
        <f>+C13+D13+E13</f>
        <v>5630983</v>
      </c>
      <c r="G13" s="43"/>
      <c r="H13" s="43"/>
      <c r="I13" s="45"/>
      <c r="J13" s="43"/>
      <c r="K13" s="46"/>
    </row>
    <row r="14" spans="1:11" s="28" customFormat="1" ht="23.25" x14ac:dyDescent="0.35">
      <c r="A14" s="49" t="s">
        <v>28</v>
      </c>
      <c r="B14" s="10">
        <v>3261527</v>
      </c>
      <c r="C14" s="10">
        <v>204850</v>
      </c>
      <c r="D14" s="10">
        <f>B14-C14-E14</f>
        <v>768968</v>
      </c>
      <c r="E14" s="10">
        <f>2042424+50422+194863</f>
        <v>2287709</v>
      </c>
      <c r="F14" s="17">
        <f t="shared" si="0"/>
        <v>3261527</v>
      </c>
      <c r="J14" s="42"/>
      <c r="K14" s="47"/>
    </row>
    <row r="15" spans="1:11" s="28" customFormat="1" ht="23.25" x14ac:dyDescent="0.35">
      <c r="A15" s="49" t="s">
        <v>29</v>
      </c>
      <c r="B15" s="10">
        <v>798701</v>
      </c>
      <c r="C15" s="10">
        <v>2279</v>
      </c>
      <c r="D15" s="10">
        <f>B15-C15-E15</f>
        <v>411760</v>
      </c>
      <c r="E15" s="10">
        <f>222739+140103+21820</f>
        <v>384662</v>
      </c>
      <c r="F15" s="17">
        <f t="shared" si="0"/>
        <v>798701</v>
      </c>
      <c r="J15" s="42"/>
    </row>
    <row r="16" spans="1:11" s="28" customFormat="1" ht="23.25" x14ac:dyDescent="0.35">
      <c r="A16" s="49" t="s">
        <v>30</v>
      </c>
      <c r="B16" s="10">
        <v>1239206</v>
      </c>
      <c r="C16" s="10">
        <v>186724</v>
      </c>
      <c r="D16" s="10">
        <f>B16-C16-E16</f>
        <v>719301</v>
      </c>
      <c r="E16" s="10">
        <f>265012+67783+386</f>
        <v>333181</v>
      </c>
      <c r="F16" s="17">
        <f t="shared" si="0"/>
        <v>1239206</v>
      </c>
      <c r="H16" s="42"/>
    </row>
    <row r="17" spans="1:10" s="28" customFormat="1" ht="23.25" x14ac:dyDescent="0.35">
      <c r="A17" s="49" t="s">
        <v>31</v>
      </c>
      <c r="B17" s="10">
        <f>482</f>
        <v>482</v>
      </c>
      <c r="C17" s="10"/>
      <c r="D17" s="10">
        <v>482</v>
      </c>
      <c r="E17" s="10"/>
      <c r="F17" s="17">
        <f t="shared" si="0"/>
        <v>482</v>
      </c>
      <c r="H17" s="59"/>
      <c r="I17" s="58"/>
      <c r="J17" s="42"/>
    </row>
    <row r="18" spans="1:10" s="28" customFormat="1" ht="23.25" hidden="1" customHeight="1" x14ac:dyDescent="0.35">
      <c r="A18" s="12"/>
      <c r="B18" s="10"/>
      <c r="C18" s="10"/>
      <c r="D18" s="10">
        <f t="shared" ref="D18:D57" si="1">+B18-C18-E18</f>
        <v>0</v>
      </c>
      <c r="E18" s="10"/>
      <c r="F18" s="17">
        <f t="shared" si="0"/>
        <v>0</v>
      </c>
      <c r="H18" s="59"/>
      <c r="I18" s="59"/>
    </row>
    <row r="19" spans="1:10" s="28" customFormat="1" ht="23.25" hidden="1" customHeight="1" x14ac:dyDescent="0.35">
      <c r="A19" s="12"/>
      <c r="B19" s="10"/>
      <c r="C19" s="10"/>
      <c r="D19" s="10">
        <f t="shared" si="1"/>
        <v>0</v>
      </c>
      <c r="E19" s="10"/>
      <c r="F19" s="17">
        <f t="shared" si="0"/>
        <v>0</v>
      </c>
      <c r="H19" s="59"/>
      <c r="I19" s="59"/>
    </row>
    <row r="20" spans="1:10" s="28" customFormat="1" ht="23.25" x14ac:dyDescent="0.35">
      <c r="A20" s="12" t="s">
        <v>32</v>
      </c>
      <c r="B20" s="10">
        <f>8500+2825+1280+6453+5675+2000+4500+5000</f>
        <v>36233</v>
      </c>
      <c r="C20" s="10"/>
      <c r="D20" s="10">
        <f>B20-C20-E20</f>
        <v>36233</v>
      </c>
      <c r="E20" s="10"/>
      <c r="F20" s="17">
        <f t="shared" si="0"/>
        <v>36233</v>
      </c>
      <c r="H20" s="59"/>
      <c r="I20" s="59"/>
      <c r="J20" s="42"/>
    </row>
    <row r="21" spans="1:10" s="28" customFormat="1" ht="28.5" customHeight="1" x14ac:dyDescent="0.35">
      <c r="A21" s="49" t="s">
        <v>33</v>
      </c>
      <c r="B21" s="10">
        <f>80</f>
        <v>80</v>
      </c>
      <c r="C21" s="10"/>
      <c r="D21" s="10">
        <f t="shared" si="1"/>
        <v>80</v>
      </c>
      <c r="E21" s="10"/>
      <c r="F21" s="17">
        <f t="shared" si="0"/>
        <v>80</v>
      </c>
      <c r="H21" s="42"/>
    </row>
    <row r="22" spans="1:10" s="28" customFormat="1" ht="28.5" customHeight="1" x14ac:dyDescent="0.35">
      <c r="A22" s="49" t="s">
        <v>34</v>
      </c>
      <c r="B22" s="10">
        <v>294754</v>
      </c>
      <c r="C22" s="10"/>
      <c r="D22" s="10">
        <v>294754</v>
      </c>
      <c r="E22" s="10"/>
      <c r="F22" s="17">
        <f>C22+D22+E22</f>
        <v>294754</v>
      </c>
      <c r="H22" s="42"/>
    </row>
    <row r="23" spans="1:10" s="27" customFormat="1" ht="25.5" customHeight="1" x14ac:dyDescent="0.3">
      <c r="A23" s="53" t="s">
        <v>3</v>
      </c>
      <c r="B23" s="35">
        <f>SUM(B24:B30)</f>
        <v>6728465</v>
      </c>
      <c r="C23" s="35">
        <f>SUM(C24:C30)</f>
        <v>125809</v>
      </c>
      <c r="D23" s="35">
        <f>SUM(D24:D30)</f>
        <v>1937149</v>
      </c>
      <c r="E23" s="35">
        <f>SUM(E24:E30)</f>
        <v>4665507</v>
      </c>
      <c r="F23" s="36">
        <f t="shared" si="0"/>
        <v>6728465</v>
      </c>
    </row>
    <row r="24" spans="1:10" s="28" customFormat="1" ht="23.25" x14ac:dyDescent="0.35">
      <c r="A24" s="49" t="s">
        <v>35</v>
      </c>
      <c r="B24" s="10">
        <v>6704086</v>
      </c>
      <c r="C24" s="10">
        <v>125809</v>
      </c>
      <c r="D24" s="10">
        <f>B24-C24-E24</f>
        <v>1912770</v>
      </c>
      <c r="E24" s="10">
        <f>4665507</f>
        <v>4665507</v>
      </c>
      <c r="F24" s="17">
        <f t="shared" si="0"/>
        <v>6704086</v>
      </c>
    </row>
    <row r="25" spans="1:10" s="28" customFormat="1" ht="23.25" x14ac:dyDescent="0.35">
      <c r="A25" s="12" t="s">
        <v>36</v>
      </c>
      <c r="B25" s="10">
        <v>1584</v>
      </c>
      <c r="C25" s="10"/>
      <c r="D25" s="10">
        <v>1584</v>
      </c>
      <c r="E25" s="10"/>
      <c r="F25" s="17">
        <f t="shared" si="0"/>
        <v>1584</v>
      </c>
    </row>
    <row r="26" spans="1:10" s="28" customFormat="1" ht="46.5" x14ac:dyDescent="0.35">
      <c r="A26" s="12" t="s">
        <v>37</v>
      </c>
      <c r="B26" s="10">
        <f>11103+2000</f>
        <v>13103</v>
      </c>
      <c r="C26" s="10"/>
      <c r="D26" s="10">
        <f t="shared" si="1"/>
        <v>13103</v>
      </c>
      <c r="E26" s="10"/>
      <c r="F26" s="17">
        <f t="shared" si="0"/>
        <v>13103</v>
      </c>
    </row>
    <row r="27" spans="1:10" s="28" customFormat="1" ht="23.25" x14ac:dyDescent="0.35">
      <c r="A27" s="12" t="s">
        <v>38</v>
      </c>
      <c r="B27" s="10">
        <f>57+7</f>
        <v>64</v>
      </c>
      <c r="C27" s="10"/>
      <c r="D27" s="10">
        <f>B27-C27-E27</f>
        <v>64</v>
      </c>
      <c r="E27" s="10"/>
      <c r="F27" s="17">
        <f t="shared" si="0"/>
        <v>64</v>
      </c>
      <c r="H27" s="42"/>
    </row>
    <row r="28" spans="1:10" s="28" customFormat="1" ht="46.5" x14ac:dyDescent="0.35">
      <c r="A28" s="12" t="s">
        <v>39</v>
      </c>
      <c r="B28" s="10">
        <f>9628</f>
        <v>9628</v>
      </c>
      <c r="C28" s="10"/>
      <c r="D28" s="10">
        <f>B28-C28-E28</f>
        <v>9628</v>
      </c>
      <c r="E28" s="10"/>
      <c r="F28" s="17">
        <f t="shared" si="0"/>
        <v>9628</v>
      </c>
      <c r="H28" s="42"/>
    </row>
    <row r="29" spans="1:10" s="28" customFormat="1" ht="23.25" hidden="1" x14ac:dyDescent="0.35">
      <c r="A29" s="12"/>
      <c r="B29" s="10"/>
      <c r="C29" s="10"/>
      <c r="D29" s="10">
        <f>B29-C29-E29</f>
        <v>0</v>
      </c>
      <c r="E29" s="10"/>
      <c r="F29" s="17">
        <f t="shared" si="0"/>
        <v>0</v>
      </c>
      <c r="I29" s="42"/>
    </row>
    <row r="30" spans="1:10" s="28" customFormat="1" ht="23.25" hidden="1" x14ac:dyDescent="0.35">
      <c r="A30" s="12"/>
      <c r="B30" s="10"/>
      <c r="C30" s="10"/>
      <c r="D30" s="10"/>
      <c r="E30" s="10"/>
      <c r="F30" s="17">
        <f t="shared" si="0"/>
        <v>0</v>
      </c>
    </row>
    <row r="31" spans="1:10" s="27" customFormat="1" ht="27" customHeight="1" x14ac:dyDescent="0.3">
      <c r="A31" s="53" t="s">
        <v>10</v>
      </c>
      <c r="B31" s="35">
        <f>SUM(B32:B36)</f>
        <v>482952</v>
      </c>
      <c r="C31" s="35">
        <f>SUM(C32:C36)</f>
        <v>0</v>
      </c>
      <c r="D31" s="35">
        <f>SUM(D32:D36)</f>
        <v>389147</v>
      </c>
      <c r="E31" s="35">
        <f>SUM(E32:E36)</f>
        <v>93805</v>
      </c>
      <c r="F31" s="36">
        <f t="shared" si="0"/>
        <v>482952</v>
      </c>
    </row>
    <row r="32" spans="1:10" s="28" customFormat="1" ht="27.75" customHeight="1" x14ac:dyDescent="0.35">
      <c r="A32" s="49" t="s">
        <v>40</v>
      </c>
      <c r="B32" s="10">
        <v>359135</v>
      </c>
      <c r="C32" s="10"/>
      <c r="D32" s="10">
        <f>B32-C32-E32</f>
        <v>265330</v>
      </c>
      <c r="E32" s="10">
        <f>93805</f>
        <v>93805</v>
      </c>
      <c r="F32" s="17">
        <f t="shared" si="0"/>
        <v>359135</v>
      </c>
    </row>
    <row r="33" spans="1:10" s="28" customFormat="1" ht="23.25" x14ac:dyDescent="0.35">
      <c r="A33" s="12" t="s">
        <v>41</v>
      </c>
      <c r="B33" s="10">
        <v>108511</v>
      </c>
      <c r="C33" s="10"/>
      <c r="D33" s="10">
        <v>108511</v>
      </c>
      <c r="E33" s="10"/>
      <c r="F33" s="17">
        <f t="shared" si="0"/>
        <v>108511</v>
      </c>
    </row>
    <row r="34" spans="1:10" s="28" customFormat="1" ht="23.25" x14ac:dyDescent="0.35">
      <c r="A34" s="12" t="s">
        <v>42</v>
      </c>
      <c r="B34" s="10">
        <f>15306</f>
        <v>15306</v>
      </c>
      <c r="C34" s="10"/>
      <c r="D34" s="10">
        <v>15306</v>
      </c>
      <c r="E34" s="10"/>
      <c r="F34" s="17">
        <f t="shared" si="0"/>
        <v>15306</v>
      </c>
    </row>
    <row r="35" spans="1:10" s="28" customFormat="1" ht="23.25" hidden="1" x14ac:dyDescent="0.35">
      <c r="A35" s="12"/>
      <c r="B35" s="10"/>
      <c r="C35" s="10"/>
      <c r="D35" s="10">
        <f t="shared" si="1"/>
        <v>0</v>
      </c>
      <c r="E35" s="10"/>
      <c r="F35" s="17">
        <f t="shared" si="0"/>
        <v>0</v>
      </c>
    </row>
    <row r="36" spans="1:10" s="28" customFormat="1" ht="23.25" hidden="1" x14ac:dyDescent="0.35">
      <c r="A36" s="12"/>
      <c r="B36" s="10"/>
      <c r="C36" s="10"/>
      <c r="D36" s="10">
        <f t="shared" si="1"/>
        <v>0</v>
      </c>
      <c r="E36" s="10"/>
      <c r="F36" s="17">
        <f t="shared" si="0"/>
        <v>0</v>
      </c>
    </row>
    <row r="37" spans="1:10" s="27" customFormat="1" ht="27.75" customHeight="1" x14ac:dyDescent="0.3">
      <c r="A37" s="53" t="s">
        <v>4</v>
      </c>
      <c r="B37" s="35">
        <f>SUM(B38:B43)</f>
        <v>453626</v>
      </c>
      <c r="C37" s="35">
        <f>SUM(C38:C43)</f>
        <v>0</v>
      </c>
      <c r="D37" s="35">
        <f>SUM(D38:D43)</f>
        <v>453626</v>
      </c>
      <c r="E37" s="35">
        <f>SUM(E38:E43)</f>
        <v>0</v>
      </c>
      <c r="F37" s="36">
        <f t="shared" si="0"/>
        <v>453626</v>
      </c>
    </row>
    <row r="38" spans="1:10" s="28" customFormat="1" ht="23.25" x14ac:dyDescent="0.35">
      <c r="A38" s="12" t="s">
        <v>43</v>
      </c>
      <c r="B38" s="10">
        <f>313408+86665</f>
        <v>400073</v>
      </c>
      <c r="C38" s="10"/>
      <c r="D38" s="10">
        <f t="shared" si="1"/>
        <v>400073</v>
      </c>
      <c r="E38" s="10"/>
      <c r="F38" s="17">
        <f t="shared" si="0"/>
        <v>400073</v>
      </c>
    </row>
    <row r="39" spans="1:10" s="28" customFormat="1" ht="50.25" customHeight="1" x14ac:dyDescent="0.35">
      <c r="A39" s="12" t="s">
        <v>44</v>
      </c>
      <c r="B39" s="10">
        <v>30628</v>
      </c>
      <c r="C39" s="10"/>
      <c r="D39" s="10">
        <f t="shared" si="1"/>
        <v>30628</v>
      </c>
      <c r="E39" s="10"/>
      <c r="F39" s="17">
        <f t="shared" si="0"/>
        <v>30628</v>
      </c>
    </row>
    <row r="40" spans="1:10" s="28" customFormat="1" ht="23.25" x14ac:dyDescent="0.35">
      <c r="A40" s="49" t="s">
        <v>45</v>
      </c>
      <c r="B40" s="10">
        <v>3875</v>
      </c>
      <c r="C40" s="10"/>
      <c r="D40" s="10">
        <f t="shared" si="1"/>
        <v>3875</v>
      </c>
      <c r="E40" s="10"/>
      <c r="F40" s="17">
        <f t="shared" si="0"/>
        <v>3875</v>
      </c>
    </row>
    <row r="41" spans="1:10" s="28" customFormat="1" ht="23.25" hidden="1" x14ac:dyDescent="0.35">
      <c r="A41" s="49"/>
      <c r="B41" s="10"/>
      <c r="C41" s="10"/>
      <c r="D41" s="10">
        <f t="shared" si="1"/>
        <v>0</v>
      </c>
      <c r="E41" s="10"/>
      <c r="F41" s="17">
        <f t="shared" si="0"/>
        <v>0</v>
      </c>
    </row>
    <row r="42" spans="1:10" s="28" customFormat="1" ht="23.25" x14ac:dyDescent="0.35">
      <c r="A42" s="12" t="s">
        <v>46</v>
      </c>
      <c r="B42" s="10">
        <v>19050</v>
      </c>
      <c r="C42" s="10"/>
      <c r="D42" s="10">
        <f t="shared" si="1"/>
        <v>19050</v>
      </c>
      <c r="E42" s="10"/>
      <c r="F42" s="17">
        <f t="shared" si="0"/>
        <v>19050</v>
      </c>
    </row>
    <row r="43" spans="1:10" s="28" customFormat="1" ht="23.25" hidden="1" x14ac:dyDescent="0.35">
      <c r="A43" s="12"/>
      <c r="B43" s="10"/>
      <c r="C43" s="10"/>
      <c r="D43" s="10">
        <f t="shared" si="1"/>
        <v>0</v>
      </c>
      <c r="E43" s="10"/>
      <c r="F43" s="17">
        <f t="shared" si="0"/>
        <v>0</v>
      </c>
    </row>
    <row r="44" spans="1:10" s="27" customFormat="1" ht="22.5" x14ac:dyDescent="0.3">
      <c r="A44" s="34" t="s">
        <v>1</v>
      </c>
      <c r="B44" s="35">
        <f>SUM(B45:B51)</f>
        <v>6527915</v>
      </c>
      <c r="C44" s="35">
        <f>SUM(C45:C51)</f>
        <v>1718650</v>
      </c>
      <c r="D44" s="35">
        <f>SUM(D45:D51)</f>
        <v>4315817</v>
      </c>
      <c r="E44" s="35">
        <f>SUM(E45:E51)</f>
        <v>493448</v>
      </c>
      <c r="F44" s="36">
        <f>+C44+D44+E44</f>
        <v>6527915</v>
      </c>
    </row>
    <row r="45" spans="1:10" s="28" customFormat="1" ht="46.5" x14ac:dyDescent="0.35">
      <c r="A45" s="12" t="s">
        <v>47</v>
      </c>
      <c r="B45" s="10">
        <v>3501455</v>
      </c>
      <c r="C45" s="10"/>
      <c r="D45" s="10">
        <f>B45-C45-E45</f>
        <v>3008007</v>
      </c>
      <c r="E45" s="10">
        <f>47125+138639+307684</f>
        <v>493448</v>
      </c>
      <c r="F45" s="17">
        <f>+C45+D45+E45</f>
        <v>3501455</v>
      </c>
      <c r="H45" s="42"/>
    </row>
    <row r="46" spans="1:10" s="28" customFormat="1" ht="23.25" x14ac:dyDescent="0.35">
      <c r="A46" s="49" t="s">
        <v>48</v>
      </c>
      <c r="B46" s="10">
        <f>1335646+323431</f>
        <v>1659077</v>
      </c>
      <c r="C46" s="10">
        <v>1659077</v>
      </c>
      <c r="D46" s="10"/>
      <c r="E46" s="10"/>
      <c r="F46" s="17">
        <f t="shared" si="0"/>
        <v>1659077</v>
      </c>
    </row>
    <row r="47" spans="1:10" s="28" customFormat="1" ht="23.25" x14ac:dyDescent="0.35">
      <c r="A47" s="49" t="s">
        <v>49</v>
      </c>
      <c r="B47" s="10">
        <f>351653-173537</f>
        <v>178116</v>
      </c>
      <c r="C47" s="10">
        <v>38539</v>
      </c>
      <c r="D47" s="10">
        <f>B47-C47</f>
        <v>139577</v>
      </c>
      <c r="E47" s="10"/>
      <c r="F47" s="17">
        <f t="shared" si="0"/>
        <v>178116</v>
      </c>
    </row>
    <row r="48" spans="1:10" s="28" customFormat="1" ht="23.25" x14ac:dyDescent="0.35">
      <c r="A48" s="49" t="s">
        <v>50</v>
      </c>
      <c r="B48" s="10">
        <f>1778885-686-351653+173537-504431</f>
        <v>1095652</v>
      </c>
      <c r="C48" s="10"/>
      <c r="D48" s="10">
        <v>1095652</v>
      </c>
      <c r="E48" s="10"/>
      <c r="F48" s="17">
        <f t="shared" si="0"/>
        <v>1095652</v>
      </c>
      <c r="J48" s="42"/>
    </row>
    <row r="49" spans="1:10" s="28" customFormat="1" ht="23.25" x14ac:dyDescent="0.35">
      <c r="A49" s="49" t="s">
        <v>51</v>
      </c>
      <c r="B49" s="10">
        <f>8433+64148-55681</f>
        <v>16900</v>
      </c>
      <c r="C49" s="10"/>
      <c r="D49" s="10">
        <v>16900</v>
      </c>
      <c r="E49" s="10"/>
      <c r="F49" s="17">
        <f t="shared" si="0"/>
        <v>16900</v>
      </c>
      <c r="J49" s="42"/>
    </row>
    <row r="50" spans="1:10" s="28" customFormat="1" ht="23.25" x14ac:dyDescent="0.35">
      <c r="A50" s="49" t="s">
        <v>52</v>
      </c>
      <c r="B50" s="10">
        <v>55681</v>
      </c>
      <c r="C50" s="10"/>
      <c r="D50" s="10">
        <v>55681</v>
      </c>
      <c r="E50" s="10"/>
      <c r="F50" s="17">
        <f t="shared" si="0"/>
        <v>55681</v>
      </c>
      <c r="G50" s="29"/>
      <c r="H50" s="29"/>
    </row>
    <row r="51" spans="1:10" s="28" customFormat="1" ht="23.25" x14ac:dyDescent="0.35">
      <c r="A51" s="49" t="s">
        <v>53</v>
      </c>
      <c r="B51" s="10">
        <v>21034</v>
      </c>
      <c r="C51" s="10">
        <v>21034</v>
      </c>
      <c r="D51" s="10"/>
      <c r="E51" s="10"/>
      <c r="F51" s="17">
        <v>21034</v>
      </c>
      <c r="G51" s="29"/>
      <c r="H51" s="29"/>
    </row>
    <row r="52" spans="1:10" s="27" customFormat="1" ht="29.25" customHeight="1" x14ac:dyDescent="0.3">
      <c r="A52" s="53" t="s">
        <v>14</v>
      </c>
      <c r="B52" s="35">
        <f>SUM(B53:B55)</f>
        <v>3094922</v>
      </c>
      <c r="C52" s="35">
        <f>SUM(C53:C55)</f>
        <v>1995720</v>
      </c>
      <c r="D52" s="35">
        <f>SUM(D53:D55)</f>
        <v>1099202</v>
      </c>
      <c r="E52" s="35">
        <f>SUM(E53:E55)</f>
        <v>0</v>
      </c>
      <c r="F52" s="36">
        <f t="shared" si="0"/>
        <v>3094922</v>
      </c>
      <c r="G52" s="30"/>
      <c r="H52" s="30"/>
    </row>
    <row r="53" spans="1:10" s="28" customFormat="1" ht="23.25" x14ac:dyDescent="0.35">
      <c r="A53" s="12" t="s">
        <v>54</v>
      </c>
      <c r="B53" s="10">
        <v>2433755</v>
      </c>
      <c r="C53" s="10">
        <v>1334553</v>
      </c>
      <c r="D53" s="10">
        <f>B53-C53</f>
        <v>1099202</v>
      </c>
      <c r="E53" s="10"/>
      <c r="F53" s="17">
        <f t="shared" si="0"/>
        <v>2433755</v>
      </c>
      <c r="G53" s="29"/>
      <c r="H53" s="29"/>
    </row>
    <row r="54" spans="1:10" s="28" customFormat="1" ht="27.75" customHeight="1" x14ac:dyDescent="0.35">
      <c r="A54" s="49" t="s">
        <v>55</v>
      </c>
      <c r="B54" s="10">
        <f>626347+34820</f>
        <v>661167</v>
      </c>
      <c r="C54" s="10">
        <v>661167</v>
      </c>
      <c r="D54" s="10"/>
      <c r="E54" s="10"/>
      <c r="F54" s="17">
        <f t="shared" si="0"/>
        <v>661167</v>
      </c>
      <c r="G54" s="29"/>
      <c r="H54" s="55"/>
    </row>
    <row r="55" spans="1:10" s="28" customFormat="1" ht="23.25" hidden="1" x14ac:dyDescent="0.35">
      <c r="A55" s="49"/>
      <c r="B55" s="10"/>
      <c r="C55" s="10"/>
      <c r="D55" s="10"/>
      <c r="E55" s="10"/>
      <c r="F55" s="17">
        <f t="shared" si="0"/>
        <v>0</v>
      </c>
      <c r="G55" s="29"/>
      <c r="H55" s="55"/>
    </row>
    <row r="56" spans="1:10" s="27" customFormat="1" ht="29.25" customHeight="1" x14ac:dyDescent="0.3">
      <c r="A56" s="53" t="s">
        <v>5</v>
      </c>
      <c r="B56" s="35">
        <f>SUM(B57:B62)</f>
        <v>1524869</v>
      </c>
      <c r="C56" s="35">
        <f>SUM(C57:C62)</f>
        <v>13948</v>
      </c>
      <c r="D56" s="35">
        <f>SUM(D57:D62)</f>
        <v>1510921</v>
      </c>
      <c r="E56" s="35">
        <f>SUM(E57:E62)</f>
        <v>0</v>
      </c>
      <c r="F56" s="36">
        <f t="shared" si="0"/>
        <v>1524869</v>
      </c>
      <c r="G56" s="30"/>
      <c r="H56" s="30"/>
    </row>
    <row r="57" spans="1:10" s="28" customFormat="1" ht="23.25" x14ac:dyDescent="0.35">
      <c r="A57" s="49" t="s">
        <v>56</v>
      </c>
      <c r="B57" s="10">
        <f>798423</f>
        <v>798423</v>
      </c>
      <c r="C57" s="10"/>
      <c r="D57" s="10">
        <f t="shared" si="1"/>
        <v>798423</v>
      </c>
      <c r="E57" s="10"/>
      <c r="F57" s="17">
        <f t="shared" si="0"/>
        <v>798423</v>
      </c>
      <c r="G57" s="29"/>
      <c r="H57" s="29"/>
    </row>
    <row r="58" spans="1:10" s="28" customFormat="1" ht="23.25" x14ac:dyDescent="0.35">
      <c r="A58" s="49" t="s">
        <v>57</v>
      </c>
      <c r="B58" s="10">
        <v>637903</v>
      </c>
      <c r="C58" s="10">
        <v>13948</v>
      </c>
      <c r="D58" s="10">
        <f>B58-C58</f>
        <v>623955</v>
      </c>
      <c r="E58" s="10"/>
      <c r="F58" s="17">
        <f>+C58+D58+E58</f>
        <v>637903</v>
      </c>
      <c r="G58" s="29"/>
      <c r="H58" s="29"/>
    </row>
    <row r="59" spans="1:10" s="28" customFormat="1" ht="23.25" x14ac:dyDescent="0.35">
      <c r="A59" s="49" t="s">
        <v>58</v>
      </c>
      <c r="B59" s="10">
        <f>20683+43713</f>
        <v>64396</v>
      </c>
      <c r="C59" s="10"/>
      <c r="D59" s="10">
        <f>+B59-C59-E59</f>
        <v>64396</v>
      </c>
      <c r="E59" s="10"/>
      <c r="F59" s="17">
        <f t="shared" si="0"/>
        <v>64396</v>
      </c>
      <c r="G59" s="29"/>
      <c r="H59" s="29"/>
    </row>
    <row r="60" spans="1:10" s="28" customFormat="1" ht="23.25" x14ac:dyDescent="0.35">
      <c r="A60" s="49" t="s">
        <v>59</v>
      </c>
      <c r="B60" s="10">
        <v>11176</v>
      </c>
      <c r="C60" s="10"/>
      <c r="D60" s="10">
        <v>11176</v>
      </c>
      <c r="E60" s="10"/>
      <c r="F60" s="17">
        <f>D60</f>
        <v>11176</v>
      </c>
      <c r="G60" s="29"/>
      <c r="H60" s="29"/>
    </row>
    <row r="61" spans="1:10" s="28" customFormat="1" ht="46.5" x14ac:dyDescent="0.35">
      <c r="A61" s="12" t="s">
        <v>60</v>
      </c>
      <c r="B61" s="10">
        <f>1105+250+10280+1336</f>
        <v>12971</v>
      </c>
      <c r="C61" s="10"/>
      <c r="D61" s="10">
        <v>12971</v>
      </c>
      <c r="E61" s="10"/>
      <c r="F61" s="17">
        <f>D61</f>
        <v>12971</v>
      </c>
      <c r="G61" s="29"/>
      <c r="H61" s="29"/>
    </row>
    <row r="62" spans="1:10" s="28" customFormat="1" ht="23.25" hidden="1" x14ac:dyDescent="0.35">
      <c r="A62" s="49"/>
      <c r="B62" s="10"/>
      <c r="C62" s="10"/>
      <c r="D62" s="10">
        <f>+B62-C62-E62</f>
        <v>0</v>
      </c>
      <c r="E62" s="10"/>
      <c r="F62" s="17">
        <f t="shared" si="0"/>
        <v>0</v>
      </c>
      <c r="G62" s="29"/>
      <c r="H62" s="29"/>
    </row>
    <row r="63" spans="1:10" s="27" customFormat="1" ht="30" customHeight="1" x14ac:dyDescent="0.3">
      <c r="A63" s="53" t="s">
        <v>15</v>
      </c>
      <c r="B63" s="35">
        <f>SUM(B64:B66)</f>
        <v>19295</v>
      </c>
      <c r="C63" s="35">
        <f>SUM(C64:C66)</f>
        <v>0</v>
      </c>
      <c r="D63" s="35">
        <f>SUM(D64:D66)</f>
        <v>19295</v>
      </c>
      <c r="E63" s="35">
        <f>SUM(E64:E66)</f>
        <v>0</v>
      </c>
      <c r="F63" s="36">
        <f t="shared" si="0"/>
        <v>19295</v>
      </c>
      <c r="G63" s="30"/>
      <c r="H63" s="30"/>
    </row>
    <row r="64" spans="1:10" s="28" customFormat="1" ht="23.25" x14ac:dyDescent="0.35">
      <c r="A64" s="49" t="s">
        <v>61</v>
      </c>
      <c r="B64" s="10">
        <v>18605</v>
      </c>
      <c r="C64" s="10"/>
      <c r="D64" s="10">
        <f>+B64-C64-E64</f>
        <v>18605</v>
      </c>
      <c r="E64" s="10"/>
      <c r="F64" s="17">
        <f t="shared" si="0"/>
        <v>18605</v>
      </c>
      <c r="G64" s="29"/>
      <c r="H64" s="29"/>
    </row>
    <row r="65" spans="1:8" s="28" customFormat="1" ht="23.25" x14ac:dyDescent="0.35">
      <c r="A65" s="12" t="s">
        <v>62</v>
      </c>
      <c r="B65" s="10">
        <v>690</v>
      </c>
      <c r="C65" s="10">
        <v>0</v>
      </c>
      <c r="D65" s="10">
        <f>+B65</f>
        <v>690</v>
      </c>
      <c r="E65" s="10">
        <v>0</v>
      </c>
      <c r="F65" s="17">
        <f t="shared" si="0"/>
        <v>690</v>
      </c>
      <c r="G65" s="29"/>
      <c r="H65" s="29"/>
    </row>
    <row r="66" spans="1:8" s="28" customFormat="1" ht="23.25" hidden="1" x14ac:dyDescent="0.35">
      <c r="A66" s="31"/>
      <c r="B66" s="10"/>
      <c r="C66" s="10"/>
      <c r="D66" s="10"/>
      <c r="E66" s="10"/>
      <c r="F66" s="17">
        <f t="shared" si="0"/>
        <v>0</v>
      </c>
      <c r="G66" s="29"/>
      <c r="H66" s="29"/>
    </row>
    <row r="67" spans="1:8" s="27" customFormat="1" ht="30.75" customHeight="1" x14ac:dyDescent="0.3">
      <c r="A67" s="53" t="s">
        <v>9</v>
      </c>
      <c r="B67" s="35">
        <f>SUM(B68:B72)</f>
        <v>4403964</v>
      </c>
      <c r="C67" s="35">
        <f>SUM(C68:C72)</f>
        <v>922517</v>
      </c>
      <c r="D67" s="35">
        <f>SUM(D68:D72)</f>
        <v>2478507</v>
      </c>
      <c r="E67" s="35">
        <f>SUM(E68:E72)</f>
        <v>1002940</v>
      </c>
      <c r="F67" s="36">
        <f t="shared" si="0"/>
        <v>4403964</v>
      </c>
      <c r="G67" s="30"/>
      <c r="H67" s="30"/>
    </row>
    <row r="68" spans="1:8" s="28" customFormat="1" ht="23.25" x14ac:dyDescent="0.35">
      <c r="A68" s="49" t="s">
        <v>63</v>
      </c>
      <c r="B68" s="10">
        <f>4112605-12895-5122</f>
        <v>4094588</v>
      </c>
      <c r="C68" s="10">
        <v>858337</v>
      </c>
      <c r="D68" s="10">
        <f>B68-C68-E68</f>
        <v>2233311</v>
      </c>
      <c r="E68" s="10">
        <f>939503+63437</f>
        <v>1002940</v>
      </c>
      <c r="F68" s="17">
        <f t="shared" si="0"/>
        <v>4094588</v>
      </c>
      <c r="G68" s="29"/>
      <c r="H68" s="29"/>
    </row>
    <row r="69" spans="1:8" s="28" customFormat="1" ht="46.5" x14ac:dyDescent="0.35">
      <c r="A69" s="12" t="s">
        <v>64</v>
      </c>
      <c r="B69" s="10">
        <v>245196</v>
      </c>
      <c r="C69" s="10"/>
      <c r="D69" s="10">
        <v>245196</v>
      </c>
      <c r="E69" s="10"/>
      <c r="F69" s="17">
        <f t="shared" si="0"/>
        <v>245196</v>
      </c>
      <c r="G69" s="29"/>
      <c r="H69" s="29"/>
    </row>
    <row r="70" spans="1:8" s="28" customFormat="1" ht="23.25" hidden="1" x14ac:dyDescent="0.35">
      <c r="A70" s="12"/>
      <c r="B70" s="10"/>
      <c r="C70" s="10"/>
      <c r="D70" s="10"/>
      <c r="E70" s="10"/>
      <c r="F70" s="17">
        <f t="shared" si="0"/>
        <v>0</v>
      </c>
      <c r="G70" s="29"/>
      <c r="H70" s="29"/>
    </row>
    <row r="71" spans="1:8" s="28" customFormat="1" ht="23.25" x14ac:dyDescent="0.35">
      <c r="A71" s="12" t="s">
        <v>65</v>
      </c>
      <c r="B71" s="10">
        <v>29</v>
      </c>
      <c r="C71" s="10">
        <v>29</v>
      </c>
      <c r="D71" s="10"/>
      <c r="E71" s="10"/>
      <c r="F71" s="17">
        <f t="shared" si="0"/>
        <v>29</v>
      </c>
      <c r="G71" s="29"/>
      <c r="H71" s="29"/>
    </row>
    <row r="72" spans="1:8" s="28" customFormat="1" ht="23.25" x14ac:dyDescent="0.35">
      <c r="A72" s="12" t="s">
        <v>66</v>
      </c>
      <c r="B72" s="10">
        <f>43884+2250+12895+5122</f>
        <v>64151</v>
      </c>
      <c r="C72" s="10">
        <v>64151</v>
      </c>
      <c r="D72" s="10"/>
      <c r="E72" s="10"/>
      <c r="F72" s="17">
        <f t="shared" si="0"/>
        <v>64151</v>
      </c>
      <c r="G72" s="29"/>
      <c r="H72" s="29"/>
    </row>
    <row r="73" spans="1:8" s="27" customFormat="1" ht="29.25" customHeight="1" x14ac:dyDescent="0.3">
      <c r="A73" s="53" t="s">
        <v>16</v>
      </c>
      <c r="B73" s="35">
        <f>SUM(B74:B89)</f>
        <v>8767344</v>
      </c>
      <c r="C73" s="35">
        <f>SUM(C74:C89)</f>
        <v>0</v>
      </c>
      <c r="D73" s="35">
        <f>SUM(D74:D89)</f>
        <v>8746799</v>
      </c>
      <c r="E73" s="35">
        <f>SUM(E74:E89)</f>
        <v>20545</v>
      </c>
      <c r="F73" s="36">
        <f t="shared" si="0"/>
        <v>8767344</v>
      </c>
      <c r="G73" s="30"/>
      <c r="H73" s="30"/>
    </row>
    <row r="74" spans="1:8" s="28" customFormat="1" ht="23.25" x14ac:dyDescent="0.35">
      <c r="A74" s="49" t="s">
        <v>67</v>
      </c>
      <c r="B74" s="10">
        <v>335884</v>
      </c>
      <c r="C74" s="10"/>
      <c r="D74" s="10">
        <f>+B74-C74-E74</f>
        <v>335884</v>
      </c>
      <c r="E74" s="10"/>
      <c r="F74" s="17">
        <f t="shared" si="0"/>
        <v>335884</v>
      </c>
      <c r="G74" s="29"/>
      <c r="H74" s="29"/>
    </row>
    <row r="75" spans="1:8" s="27" customFormat="1" ht="46.5" x14ac:dyDescent="0.35">
      <c r="A75" s="12" t="s">
        <v>68</v>
      </c>
      <c r="B75" s="10">
        <f>5824925-264427-1909584+1</f>
        <v>3650915</v>
      </c>
      <c r="C75" s="10"/>
      <c r="D75" s="10">
        <f>+B75-C75-E75</f>
        <v>3630370</v>
      </c>
      <c r="E75" s="10">
        <v>20545</v>
      </c>
      <c r="F75" s="17">
        <f t="shared" si="0"/>
        <v>3650915</v>
      </c>
      <c r="G75" s="30"/>
      <c r="H75" s="30"/>
    </row>
    <row r="76" spans="1:8" s="27" customFormat="1" ht="23.25" x14ac:dyDescent="0.35">
      <c r="A76" s="12" t="s">
        <v>69</v>
      </c>
      <c r="B76" s="10">
        <f>38772+105+275+2033+1027</f>
        <v>42212</v>
      </c>
      <c r="C76" s="10"/>
      <c r="D76" s="10">
        <v>42212</v>
      </c>
      <c r="E76" s="10"/>
      <c r="F76" s="17">
        <f t="shared" si="0"/>
        <v>42212</v>
      </c>
      <c r="G76" s="30"/>
      <c r="H76" s="30"/>
    </row>
    <row r="77" spans="1:8" s="27" customFormat="1" ht="46.5" x14ac:dyDescent="0.35">
      <c r="A77" s="12" t="s">
        <v>70</v>
      </c>
      <c r="B77" s="10">
        <f>16390+44600+94692+160</f>
        <v>155842</v>
      </c>
      <c r="C77" s="10"/>
      <c r="D77" s="10">
        <v>155842</v>
      </c>
      <c r="E77" s="10"/>
      <c r="F77" s="17">
        <f t="shared" si="0"/>
        <v>155842</v>
      </c>
      <c r="G77" s="30"/>
      <c r="H77" s="30"/>
    </row>
    <row r="78" spans="1:8" s="27" customFormat="1" ht="23.25" hidden="1" x14ac:dyDescent="0.35">
      <c r="A78" s="12"/>
      <c r="B78" s="10"/>
      <c r="C78" s="10"/>
      <c r="D78" s="10"/>
      <c r="E78" s="10"/>
      <c r="F78" s="17">
        <f t="shared" si="0"/>
        <v>0</v>
      </c>
      <c r="G78" s="30"/>
      <c r="H78" s="30"/>
    </row>
    <row r="79" spans="1:8" s="27" customFormat="1" ht="23.25" x14ac:dyDescent="0.35">
      <c r="A79" s="12" t="s">
        <v>73</v>
      </c>
      <c r="B79" s="10">
        <v>264427</v>
      </c>
      <c r="C79" s="10"/>
      <c r="D79" s="10">
        <v>264427</v>
      </c>
      <c r="E79" s="10"/>
      <c r="F79" s="17">
        <f t="shared" si="0"/>
        <v>264427</v>
      </c>
      <c r="G79" s="30"/>
      <c r="H79" s="30"/>
    </row>
    <row r="80" spans="1:8" s="27" customFormat="1" ht="23.25" x14ac:dyDescent="0.35">
      <c r="A80" s="49" t="s">
        <v>72</v>
      </c>
      <c r="B80" s="10">
        <v>4318064</v>
      </c>
      <c r="C80" s="10"/>
      <c r="D80" s="10">
        <v>4318064</v>
      </c>
      <c r="E80" s="10"/>
      <c r="F80" s="17">
        <f t="shared" si="0"/>
        <v>4318064</v>
      </c>
      <c r="G80" s="30"/>
      <c r="H80" s="30"/>
    </row>
    <row r="81" spans="1:10" s="27" customFormat="1" ht="23.25" hidden="1" x14ac:dyDescent="0.35">
      <c r="A81" s="49"/>
      <c r="B81" s="10"/>
      <c r="C81" s="10"/>
      <c r="D81" s="10">
        <f>+B81-C81-E81</f>
        <v>0</v>
      </c>
      <c r="E81" s="10"/>
      <c r="F81" s="17">
        <f t="shared" si="0"/>
        <v>0</v>
      </c>
      <c r="G81" s="30"/>
      <c r="H81" s="30"/>
    </row>
    <row r="82" spans="1:10" s="27" customFormat="1" ht="23.25" hidden="1" x14ac:dyDescent="0.35">
      <c r="A82" s="49"/>
      <c r="B82" s="10"/>
      <c r="C82" s="10"/>
      <c r="D82" s="10"/>
      <c r="E82" s="10"/>
      <c r="F82" s="17"/>
      <c r="G82" s="30"/>
      <c r="H82" s="30"/>
    </row>
    <row r="83" spans="1:10" s="27" customFormat="1" ht="23.25" hidden="1" x14ac:dyDescent="0.35">
      <c r="A83" s="49"/>
      <c r="B83" s="10"/>
      <c r="C83" s="10"/>
      <c r="D83" s="10"/>
      <c r="E83" s="10"/>
      <c r="F83" s="17"/>
      <c r="G83" s="30"/>
      <c r="H83" s="30"/>
    </row>
    <row r="84" spans="1:10" s="27" customFormat="1" ht="23.25" hidden="1" x14ac:dyDescent="0.35">
      <c r="A84" s="49"/>
      <c r="B84" s="10"/>
      <c r="C84" s="10"/>
      <c r="D84" s="10"/>
      <c r="E84" s="10"/>
      <c r="F84" s="17"/>
      <c r="G84" s="30"/>
      <c r="H84" s="30"/>
    </row>
    <row r="85" spans="1:10" s="27" customFormat="1" ht="23.25" hidden="1" x14ac:dyDescent="0.35">
      <c r="A85" s="49"/>
      <c r="B85" s="10"/>
      <c r="C85" s="10"/>
      <c r="D85" s="10"/>
      <c r="E85" s="10"/>
      <c r="F85" s="17"/>
      <c r="G85" s="30"/>
      <c r="H85" s="30"/>
    </row>
    <row r="86" spans="1:10" s="27" customFormat="1" ht="23.25" hidden="1" x14ac:dyDescent="0.35">
      <c r="A86" s="49"/>
      <c r="B86" s="10"/>
      <c r="C86" s="10"/>
      <c r="D86" s="10"/>
      <c r="E86" s="10"/>
      <c r="F86" s="17"/>
      <c r="G86" s="30"/>
      <c r="H86" s="30"/>
    </row>
    <row r="87" spans="1:10" s="28" customFormat="1" ht="23.25" hidden="1" x14ac:dyDescent="0.35">
      <c r="A87" s="49"/>
      <c r="B87" s="10"/>
      <c r="C87" s="10"/>
      <c r="D87" s="10">
        <f>+B87-C87-E87</f>
        <v>0</v>
      </c>
      <c r="E87" s="10"/>
      <c r="F87" s="17">
        <f t="shared" si="0"/>
        <v>0</v>
      </c>
      <c r="G87" s="29"/>
      <c r="H87" s="29"/>
    </row>
    <row r="88" spans="1:10" s="28" customFormat="1" ht="45.75" hidden="1" customHeight="1" x14ac:dyDescent="0.35">
      <c r="A88" s="12"/>
      <c r="B88" s="10"/>
      <c r="C88" s="10"/>
      <c r="D88" s="10">
        <f>+B88-C88-E88</f>
        <v>0</v>
      </c>
      <c r="E88" s="10"/>
      <c r="F88" s="17">
        <f t="shared" si="0"/>
        <v>0</v>
      </c>
      <c r="G88" s="29"/>
      <c r="H88" s="29"/>
    </row>
    <row r="89" spans="1:10" ht="28.5" hidden="1" customHeight="1" x14ac:dyDescent="0.35">
      <c r="A89" s="50"/>
      <c r="B89" s="10"/>
      <c r="C89" s="10"/>
      <c r="D89" s="10">
        <f>+B89-C89-E89</f>
        <v>0</v>
      </c>
      <c r="E89" s="10"/>
      <c r="F89" s="17">
        <f t="shared" ref="F89:F94" si="2">+C89+D89+E89</f>
        <v>0</v>
      </c>
      <c r="G89" s="14"/>
      <c r="H89" s="14"/>
    </row>
    <row r="90" spans="1:10" s="7" customFormat="1" ht="22.5" hidden="1" customHeight="1" x14ac:dyDescent="0.3">
      <c r="A90" s="13" t="s">
        <v>11</v>
      </c>
      <c r="B90" s="11"/>
      <c r="C90" s="11"/>
      <c r="D90" s="11"/>
      <c r="E90" s="11"/>
      <c r="F90" s="18">
        <f t="shared" si="2"/>
        <v>0</v>
      </c>
      <c r="G90" s="15"/>
      <c r="H90" s="15"/>
    </row>
    <row r="91" spans="1:10" s="7" customFormat="1" ht="45.75" x14ac:dyDescent="0.35">
      <c r="A91" s="34" t="s">
        <v>71</v>
      </c>
      <c r="B91" s="37">
        <v>2605848</v>
      </c>
      <c r="C91" s="37"/>
      <c r="D91" s="37">
        <f>+B91-C91-E91</f>
        <v>2605848</v>
      </c>
      <c r="E91" s="37"/>
      <c r="F91" s="36">
        <f t="shared" si="2"/>
        <v>2605848</v>
      </c>
      <c r="G91" s="15"/>
      <c r="H91" s="15"/>
    </row>
    <row r="92" spans="1:10" s="7" customFormat="1" ht="49.5" customHeight="1" x14ac:dyDescent="0.3">
      <c r="A92" s="38" t="s">
        <v>18</v>
      </c>
      <c r="B92" s="48">
        <v>-18446688</v>
      </c>
      <c r="C92" s="37"/>
      <c r="D92" s="37">
        <f>+B92-C92-E92</f>
        <v>-18446688</v>
      </c>
      <c r="E92" s="37"/>
      <c r="F92" s="36">
        <f t="shared" si="2"/>
        <v>-18446688</v>
      </c>
      <c r="G92" s="15"/>
      <c r="H92" s="15"/>
    </row>
    <row r="93" spans="1:10" s="7" customFormat="1" ht="48.75" customHeight="1" thickBot="1" x14ac:dyDescent="0.35">
      <c r="A93" s="51" t="s">
        <v>19</v>
      </c>
      <c r="B93" s="39">
        <v>18446688</v>
      </c>
      <c r="C93" s="39"/>
      <c r="D93" s="37">
        <f>+B93-C93-E93</f>
        <v>18446688</v>
      </c>
      <c r="E93" s="39">
        <f>-E92</f>
        <v>0</v>
      </c>
      <c r="F93" s="40">
        <f t="shared" si="2"/>
        <v>18446688</v>
      </c>
      <c r="G93" s="15"/>
      <c r="H93" s="15"/>
      <c r="J93" s="41"/>
    </row>
    <row r="94" spans="1:10" s="8" customFormat="1" ht="42" customHeight="1" thickBot="1" x14ac:dyDescent="0.3">
      <c r="A94" s="54" t="s">
        <v>17</v>
      </c>
      <c r="B94" s="22">
        <f>SUM(B7,B13,B23,B31,B37,B44,B52,B56,B63,B67,B73,B90,B91)+B92+B93</f>
        <v>48309403</v>
      </c>
      <c r="C94" s="23">
        <f>SUM(C7,C13,C23,C31,C37,C44,C52,C56,C63,C67,C73,C90,C91)+C92+C93</f>
        <v>6271226</v>
      </c>
      <c r="D94" s="23">
        <f>SUM(D7,D13,D23,D31,D37,D44,D52,D56,D63,D67,D73,D90,D91)+D92+D93</f>
        <v>28083043</v>
      </c>
      <c r="E94" s="23">
        <f>SUM(E7,E13,E23,E31,E37,E44,E52,E56,E63,E67,E73,E90,E91)+E92+E93</f>
        <v>13955134</v>
      </c>
      <c r="F94" s="22">
        <f t="shared" si="2"/>
        <v>48309403</v>
      </c>
      <c r="G94" s="16"/>
      <c r="H94" s="16"/>
    </row>
    <row r="95" spans="1:10" x14ac:dyDescent="0.25">
      <c r="G95" s="14"/>
      <c r="H95" s="14"/>
    </row>
    <row r="96" spans="1:10" x14ac:dyDescent="0.25">
      <c r="E96" s="24"/>
      <c r="G96" s="14"/>
      <c r="H96" s="14"/>
    </row>
    <row r="97" spans="1:8" x14ac:dyDescent="0.25">
      <c r="G97" s="14"/>
      <c r="H97" s="14"/>
    </row>
    <row r="98" spans="1:8" x14ac:dyDescent="0.25">
      <c r="G98" s="14"/>
      <c r="H98" s="14"/>
    </row>
    <row r="99" spans="1:8" x14ac:dyDescent="0.25">
      <c r="A99" s="3"/>
      <c r="B99" s="9"/>
      <c r="F99" s="9"/>
    </row>
    <row r="100" spans="1:8" x14ac:dyDescent="0.25">
      <c r="A100" s="3"/>
    </row>
    <row r="101" spans="1:8" x14ac:dyDescent="0.25">
      <c r="A101" s="3"/>
    </row>
  </sheetData>
  <mergeCells count="6">
    <mergeCell ref="I17:I20"/>
    <mergeCell ref="A2:F2"/>
    <mergeCell ref="B5:B6"/>
    <mergeCell ref="C5:F5"/>
    <mergeCell ref="A5:A6"/>
    <mergeCell ref="H17:H20"/>
  </mergeCells>
  <pageMargins left="0.70866141732283472" right="0.70866141732283472" top="0.74803149606299213" bottom="0.74803149606299213" header="0.31496062992125984" footer="0.31496062992125984"/>
  <pageSetup paperSize="8" scale="45" firstPageNumber="7" orientation="portrait" useFirstPageNumber="1" r:id="rId1"/>
  <headerFooter>
    <oddFooter>&amp;C&amp;18&amp;P. oldal</oddFooter>
  </headerFooter>
  <rowBreaks count="1" manualBreakCount="1">
    <brk id="6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FELADATOS CSOPORTOSÍTÁS</vt:lpstr>
      <vt:lpstr>'FELADATOS CSOPORTOSÍTÁS'!Nyomtatási_cím</vt:lpstr>
      <vt:lpstr>'FELADATOS CSOPORTOSÍTÁS'!Nyomtatási_terület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2025-05-12T08:09:33Z</cp:lastPrinted>
  <dcterms:created xsi:type="dcterms:W3CDTF">2017-02-08T08:17:47Z</dcterms:created>
  <dcterms:modified xsi:type="dcterms:W3CDTF">2025-05-12T08:10:19Z</dcterms:modified>
</cp:coreProperties>
</file>