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xr:revisionPtr revIDLastSave="0" documentId="13_ncr:1_{0230CC24-A6F9-41DD-B212-5290FED5358D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ELADATOS CSOPORTOSÍTÁS" sheetId="4" r:id="rId1"/>
  </sheets>
  <definedNames>
    <definedName name="_xlnm.Print_Titles" localSheetId="0">'FELADATOS CSOPORTOSÍTÁS'!$4:$7</definedName>
    <definedName name="_xlnm.Print_Area" localSheetId="0">'FELADATOS CSOPORTOSÍTÁS'!$A$1:$H$128</definedName>
  </definedNames>
  <calcPr calcId="191029"/>
</workbook>
</file>

<file path=xl/calcChain.xml><?xml version="1.0" encoding="utf-8"?>
<calcChain xmlns="http://schemas.openxmlformats.org/spreadsheetml/2006/main">
  <c r="B69" i="4" l="1"/>
  <c r="B75" i="4"/>
  <c r="B107" i="4" l="1"/>
  <c r="B105" i="4"/>
  <c r="E22" i="4" l="1"/>
  <c r="B30" i="4" l="1"/>
  <c r="B106" i="4"/>
  <c r="B70" i="4"/>
  <c r="B59" i="4" l="1"/>
  <c r="B45" i="4"/>
  <c r="B66" i="4"/>
  <c r="D66" i="4" s="1"/>
  <c r="B79" i="4"/>
  <c r="B78" i="4"/>
  <c r="B64" i="4"/>
  <c r="B102" i="4" l="1"/>
  <c r="C86" i="4" l="1"/>
  <c r="E86" i="4"/>
  <c r="B86" i="4"/>
  <c r="B87" i="4"/>
  <c r="B90" i="4"/>
  <c r="B91" i="4"/>
  <c r="B93" i="4"/>
  <c r="B65" i="4" l="1"/>
  <c r="D76" i="4" l="1"/>
  <c r="B57" i="4"/>
  <c r="B62" i="4"/>
  <c r="B24" i="4"/>
  <c r="D36" i="4"/>
  <c r="B36" i="4"/>
  <c r="B35" i="4" s="1"/>
  <c r="E21" i="4" l="1"/>
  <c r="E9" i="4"/>
  <c r="E20" i="4"/>
  <c r="E64" i="4" l="1"/>
  <c r="F36" i="4" l="1"/>
  <c r="D60" i="4" l="1"/>
  <c r="F60" i="4" s="1"/>
  <c r="D33" i="4"/>
  <c r="F33" i="4" s="1"/>
  <c r="B46" i="4" l="1"/>
  <c r="D53" i="4"/>
  <c r="D96" i="4"/>
  <c r="F96" i="4" s="1"/>
  <c r="F102" i="4" l="1"/>
  <c r="D44" i="4" l="1"/>
  <c r="B103" i="4" l="1"/>
  <c r="B8" i="4"/>
  <c r="D64" i="4"/>
  <c r="F64" i="4" s="1"/>
  <c r="D87" i="4"/>
  <c r="D119" i="4"/>
  <c r="F119" i="4" s="1"/>
  <c r="B131" i="4"/>
  <c r="D100" i="4"/>
  <c r="F100" i="4" s="1"/>
  <c r="D105" i="4"/>
  <c r="F105" i="4" s="1"/>
  <c r="D69" i="4"/>
  <c r="F69" i="4" s="1"/>
  <c r="F66" i="4"/>
  <c r="D114" i="4"/>
  <c r="F114" i="4" s="1"/>
  <c r="D21" i="4"/>
  <c r="F21" i="4" s="1"/>
  <c r="D20" i="4"/>
  <c r="F20" i="4" s="1"/>
  <c r="B19" i="4"/>
  <c r="D118" i="4"/>
  <c r="F118" i="4" s="1"/>
  <c r="D108" i="4"/>
  <c r="F108" i="4" s="1"/>
  <c r="D109" i="4"/>
  <c r="F109" i="4" s="1"/>
  <c r="D110" i="4"/>
  <c r="F110" i="4" s="1"/>
  <c r="D111" i="4"/>
  <c r="F111" i="4" s="1"/>
  <c r="D113" i="4"/>
  <c r="F113" i="4" s="1"/>
  <c r="D115" i="4"/>
  <c r="F115" i="4" s="1"/>
  <c r="D116" i="4"/>
  <c r="F116" i="4" s="1"/>
  <c r="D117" i="4"/>
  <c r="F117" i="4" s="1"/>
  <c r="D121" i="4"/>
  <c r="F121" i="4" s="1"/>
  <c r="F101" i="4"/>
  <c r="C84" i="4"/>
  <c r="F84" i="4" s="1"/>
  <c r="D71" i="4"/>
  <c r="F71" i="4" s="1"/>
  <c r="D72" i="4"/>
  <c r="F72" i="4" s="1"/>
  <c r="D75" i="4"/>
  <c r="F75" i="4" s="1"/>
  <c r="D41" i="4"/>
  <c r="F41" i="4" s="1"/>
  <c r="D42" i="4"/>
  <c r="F42" i="4" s="1"/>
  <c r="D27" i="4"/>
  <c r="F27" i="4" s="1"/>
  <c r="D28" i="4"/>
  <c r="F28" i="4" s="1"/>
  <c r="D25" i="4"/>
  <c r="F25" i="4" s="1"/>
  <c r="F85" i="4"/>
  <c r="D93" i="4"/>
  <c r="F93" i="4" s="1"/>
  <c r="D78" i="4"/>
  <c r="F78" i="4" s="1"/>
  <c r="B63" i="4"/>
  <c r="D70" i="4"/>
  <c r="F70" i="4" s="1"/>
  <c r="D95" i="4"/>
  <c r="F95" i="4" s="1"/>
  <c r="D107" i="4"/>
  <c r="F107" i="4" s="1"/>
  <c r="B98" i="4"/>
  <c r="C63" i="4"/>
  <c r="F79" i="4"/>
  <c r="D83" i="4"/>
  <c r="F83" i="4" s="1"/>
  <c r="D57" i="4"/>
  <c r="F57" i="4" s="1"/>
  <c r="D47" i="4"/>
  <c r="F47" i="4" s="1"/>
  <c r="D24" i="4"/>
  <c r="F24" i="4" s="1"/>
  <c r="D122" i="4"/>
  <c r="F122" i="4" s="1"/>
  <c r="D104" i="4"/>
  <c r="F81" i="4"/>
  <c r="D126" i="4"/>
  <c r="F126" i="4" s="1"/>
  <c r="J126" i="4" s="1"/>
  <c r="C98" i="4"/>
  <c r="D59" i="4"/>
  <c r="F59" i="4" s="1"/>
  <c r="D97" i="4"/>
  <c r="F80" i="4"/>
  <c r="D124" i="4"/>
  <c r="F124" i="4" s="1"/>
  <c r="F65" i="4"/>
  <c r="D106" i="4"/>
  <c r="F106" i="4" s="1"/>
  <c r="D58" i="4"/>
  <c r="F58" i="4" s="1"/>
  <c r="D18" i="4"/>
  <c r="F18" i="4" s="1"/>
  <c r="D90" i="4"/>
  <c r="F90" i="4" s="1"/>
  <c r="D91" i="4"/>
  <c r="F91" i="4" s="1"/>
  <c r="F76" i="4"/>
  <c r="D61" i="4"/>
  <c r="F61" i="4" s="1"/>
  <c r="D48" i="4"/>
  <c r="F48" i="4" s="1"/>
  <c r="D54" i="4"/>
  <c r="F54" i="4" s="1"/>
  <c r="D55" i="4"/>
  <c r="F55" i="4" s="1"/>
  <c r="D40" i="4"/>
  <c r="F40" i="4" s="1"/>
  <c r="D43" i="4"/>
  <c r="F43" i="4" s="1"/>
  <c r="D22" i="4"/>
  <c r="F22" i="4" s="1"/>
  <c r="D10" i="4"/>
  <c r="F10" i="4" s="1"/>
  <c r="D9" i="4"/>
  <c r="F9" i="4" s="1"/>
  <c r="D62" i="4"/>
  <c r="F62" i="4" s="1"/>
  <c r="D39" i="4"/>
  <c r="F39" i="4" s="1"/>
  <c r="D38" i="4"/>
  <c r="F38" i="4" s="1"/>
  <c r="D34" i="4"/>
  <c r="F34" i="4" s="1"/>
  <c r="D37" i="4"/>
  <c r="F37" i="4" s="1"/>
  <c r="J133" i="4"/>
  <c r="J36" i="4"/>
  <c r="J132" i="4" s="1"/>
  <c r="I10" i="4"/>
  <c r="H10" i="4"/>
  <c r="I99" i="4"/>
  <c r="I128" i="4" s="1"/>
  <c r="H99" i="4"/>
  <c r="C19" i="4"/>
  <c r="E103" i="4"/>
  <c r="E98" i="4"/>
  <c r="E94" i="4"/>
  <c r="C94" i="4"/>
  <c r="E77" i="4"/>
  <c r="E63" i="4"/>
  <c r="B56" i="4"/>
  <c r="E56" i="4"/>
  <c r="C56" i="4"/>
  <c r="E46" i="4"/>
  <c r="C46" i="4"/>
  <c r="C35" i="4"/>
  <c r="E8" i="4"/>
  <c r="C8" i="4"/>
  <c r="E19" i="4"/>
  <c r="C103" i="4"/>
  <c r="D45" i="4"/>
  <c r="F45" i="4" s="1"/>
  <c r="D88" i="4"/>
  <c r="F88" i="4" s="1"/>
  <c r="F82" i="4"/>
  <c r="B94" i="4"/>
  <c r="D99" i="4"/>
  <c r="F99" i="4" s="1"/>
  <c r="B77" i="4"/>
  <c r="F23" i="4"/>
  <c r="F87" i="4" l="1"/>
  <c r="F86" i="4" s="1"/>
  <c r="D86" i="4"/>
  <c r="F104" i="4"/>
  <c r="F103" i="4" s="1"/>
  <c r="D103" i="4"/>
  <c r="D94" i="4"/>
  <c r="J134" i="4"/>
  <c r="F97" i="4"/>
  <c r="F94" i="4" s="1"/>
  <c r="C77" i="4"/>
  <c r="C128" i="4" s="1"/>
  <c r="H128" i="4"/>
  <c r="J128" i="4" s="1"/>
  <c r="D46" i="4"/>
  <c r="D98" i="4"/>
  <c r="E35" i="4"/>
  <c r="E128" i="4" s="1"/>
  <c r="J135" i="4" s="1"/>
  <c r="F98" i="4"/>
  <c r="F77" i="4"/>
  <c r="D77" i="4"/>
  <c r="F63" i="4"/>
  <c r="D63" i="4"/>
  <c r="D56" i="4"/>
  <c r="F56" i="4"/>
  <c r="F46" i="4"/>
  <c r="D35" i="4"/>
  <c r="F35" i="4"/>
  <c r="D19" i="4"/>
  <c r="F19" i="4"/>
  <c r="F8" i="4"/>
  <c r="D8" i="4"/>
  <c r="F128" i="4" l="1"/>
  <c r="F129" i="4" s="1"/>
  <c r="J136" i="4"/>
  <c r="D128" i="4"/>
  <c r="B128" i="4"/>
  <c r="B130" i="4" s="1"/>
</calcChain>
</file>

<file path=xl/sharedStrings.xml><?xml version="1.0" encoding="utf-8"?>
<sst xmlns="http://schemas.openxmlformats.org/spreadsheetml/2006/main" count="158" uniqueCount="118">
  <si>
    <t xml:space="preserve">Köznevelési feladatok </t>
  </si>
  <si>
    <t>Településfejlesztési, településüzemeltetési feladatok</t>
  </si>
  <si>
    <t>Szociális feladatok</t>
  </si>
  <si>
    <t>Egészségügyi feladatok</t>
  </si>
  <si>
    <t>Sport és ifjúsági feladatok</t>
  </si>
  <si>
    <t>Közbiztonsági feladatok</t>
  </si>
  <si>
    <t>adatok eFt-ban</t>
  </si>
  <si>
    <t>önkormányzati támogatás</t>
  </si>
  <si>
    <t>ellenőrzés</t>
  </si>
  <si>
    <t>összesen</t>
  </si>
  <si>
    <t>Zuglói Egyesített Bölcsődék</t>
  </si>
  <si>
    <t>Zuglói Család- és Gyermekjóléti Központ</t>
  </si>
  <si>
    <t>Zuglói Szociális Szolgáltató Központ</t>
  </si>
  <si>
    <t>Zuglói Egészségügyi Szolgálat</t>
  </si>
  <si>
    <t>Igazgatási feladatok</t>
  </si>
  <si>
    <t>Közművelődési, kulturális feladatok</t>
  </si>
  <si>
    <t xml:space="preserve">Zuglói Cserepes Kulturális Non-profit Kft. </t>
  </si>
  <si>
    <t xml:space="preserve">Zuglói Sport- és Rendezvényszervező Non-profit kft. </t>
  </si>
  <si>
    <t>Közkapcsolati feladatok</t>
  </si>
  <si>
    <t>Kerületi kitüntetések</t>
  </si>
  <si>
    <t>Nemzetiségi önkormányzatok támogatása</t>
  </si>
  <si>
    <t>Civil szervezetek, egyházak, alapítványok  - támogatások, és rendezvények</t>
  </si>
  <si>
    <t>Képviselő-testületi feladatok kiadásai (tiszteletdíjak, költségtérítések, járulékok)</t>
  </si>
  <si>
    <t>Zuglói Egészségmegőrző Program</t>
  </si>
  <si>
    <t>Feladatok megnevezése</t>
  </si>
  <si>
    <t>Lakás- és egyéb vagyongazdálkodás</t>
  </si>
  <si>
    <t>Nemzetiségi feladatok</t>
  </si>
  <si>
    <t xml:space="preserve">Polgármesteri Hivatal </t>
  </si>
  <si>
    <t>Egyéb önkormányzati feladatok</t>
  </si>
  <si>
    <t>Szolidaritási hozzájárulás megfizetése</t>
  </si>
  <si>
    <t>MINDÖSSZESEN:</t>
  </si>
  <si>
    <t>Konszolidálás irányító szervi támogatással</t>
  </si>
  <si>
    <t>Közterület felügyelet (Zuglói Önkormányzati Rendészet)</t>
  </si>
  <si>
    <t>A</t>
  </si>
  <si>
    <t>B</t>
  </si>
  <si>
    <t>C</t>
  </si>
  <si>
    <t>D</t>
  </si>
  <si>
    <t>E</t>
  </si>
  <si>
    <t>F</t>
  </si>
  <si>
    <t>G</t>
  </si>
  <si>
    <t>H</t>
  </si>
  <si>
    <t>E oszlopból állami normatíva</t>
  </si>
  <si>
    <t>egyéb támogatás</t>
  </si>
  <si>
    <t xml:space="preserve">eltérésnek 0" kellene hogy legyen </t>
  </si>
  <si>
    <t>ellenőrzés (nullának kell lennie)</t>
  </si>
  <si>
    <t>Zuglói Közbiztonsági Non-Profit Kft.</t>
  </si>
  <si>
    <t>Óvodák</t>
  </si>
  <si>
    <t>Iskolai étkeztetés</t>
  </si>
  <si>
    <t>Lakossági támogatások rászorultság alapján</t>
  </si>
  <si>
    <t>Lisztérzékenységi szűrővizsgálat</t>
  </si>
  <si>
    <t>Védőoltásokhoz kapcsolódó kiadások</t>
  </si>
  <si>
    <t>Testvérvárosi kiadások (önkormányzati költségvetésben)</t>
  </si>
  <si>
    <t>Kerületi, lakossági kultúrális rendezvények, programok</t>
  </si>
  <si>
    <t>Sport kitüntetések, jutalmak</t>
  </si>
  <si>
    <t>Fizető parkolás</t>
  </si>
  <si>
    <t>Főmérnökséghez kapcsolódó feladatok</t>
  </si>
  <si>
    <t>Környezetvédelmi feladatok</t>
  </si>
  <si>
    <t>Főépítészi feladatok</t>
  </si>
  <si>
    <t>Lakásgazdálkodási, ingatlangazdálkodási feladatok</t>
  </si>
  <si>
    <t>Adófeladatok</t>
  </si>
  <si>
    <t>Önkormányzati jogi, hatósági, igazgatási feladatok</t>
  </si>
  <si>
    <t>Egyéb sport feladatok (nyugdíjas és munkavállalói úszás)</t>
  </si>
  <si>
    <t xml:space="preserve">Idősügyi és gyermekjóléti kerekasztalok </t>
  </si>
  <si>
    <t>Feladatok saját bevétele</t>
  </si>
  <si>
    <t>Feladatok önkormányzati támogatása</t>
  </si>
  <si>
    <t>Feladatok központi/NEAK/                    egyéb államháztartáson belüli támogatása</t>
  </si>
  <si>
    <t>Drogellenes programok, drogprevenció, Kábítószer Egyeztető Fórum</t>
  </si>
  <si>
    <t>Közrend, közbiztonság, polgári védelem</t>
  </si>
  <si>
    <t>Nemzetiségi Alap program</t>
  </si>
  <si>
    <t>Utak, közterek, zöldfelületek (Zuglói Városgazdálkodási Közszolgáltatási Zrt.)</t>
  </si>
  <si>
    <t>Zuglói Zrt. ingatlangazdálkodási feladatok</t>
  </si>
  <si>
    <t>Különböző önkormányzati feladatok (Jogi, pénzügyi, egyéb elszámolási feladatok)</t>
  </si>
  <si>
    <t>Közfoglalkoztatás (Polgármesteri Hivatal)</t>
  </si>
  <si>
    <t>Általános tartalék</t>
  </si>
  <si>
    <t>Környezetvédelmi alap céltartaléka</t>
  </si>
  <si>
    <t>Polgármesteri keret céltartalék</t>
  </si>
  <si>
    <t>Intézmények irányítószervi támogatásának céltartaléka</t>
  </si>
  <si>
    <t>Népjóléti Bizottság tartalékkerete</t>
  </si>
  <si>
    <t>Óvodák és szociális intézmények részére: játszótéri eszközök, egyéb eszközök, szakmai anyagok beszerzésének céltartaléka</t>
  </si>
  <si>
    <t>Pályázati projektek</t>
  </si>
  <si>
    <t>az előterjesztés 5. melléklete</t>
  </si>
  <si>
    <t xml:space="preserve">Egészséges Budapest Program </t>
  </si>
  <si>
    <t>Cserepes rendezvénynaptár költségei</t>
  </si>
  <si>
    <t>Rendezvénynaptár költségei- Zuglói Sport és Rendezvényszervező Non-Profit Kft.</t>
  </si>
  <si>
    <t>Háziorvosok költségcsökkentéséhez kapcsolódó támogatások, praxiskezdési támogatások</t>
  </si>
  <si>
    <t>Faültetési programok kiadásai</t>
  </si>
  <si>
    <t>Kerületi  kitüntetések díjak (Hónap rendőre, Zuglóért emlékérem, rendőrségi jutalom)</t>
  </si>
  <si>
    <t>Diák csereprogramok támogatása</t>
  </si>
  <si>
    <t xml:space="preserve">Irányító szervi szervi támogatás                                                                 </t>
  </si>
  <si>
    <r>
      <t xml:space="preserve">Finanszírozási feladatok                                                                     </t>
    </r>
    <r>
      <rPr>
        <sz val="12"/>
        <color indexed="8"/>
        <rFont val="Times New Roman"/>
        <family val="1"/>
        <charset val="238"/>
      </rPr>
      <t>(folyószámla hitelkeret)</t>
    </r>
  </si>
  <si>
    <t>Esélyegyenlőségi programok kerete</t>
  </si>
  <si>
    <t>Ellátási szerződések</t>
  </si>
  <si>
    <t>Feladatok 2025. évi kiadásai</t>
  </si>
  <si>
    <t>Budapest Főváros XIV. Kerület Zugló Önkormányzata                                                                                                      2025. évi bevételeinek és kiadásainak                                                                                                    feladatonkénti bemutatása</t>
  </si>
  <si>
    <t>Feladatok 2025. évi bevételei</t>
  </si>
  <si>
    <t>Ifjúságpoltikai célok megvalósítása, Oktatási, szakmai ifjúsági csereprogramok</t>
  </si>
  <si>
    <t>Nemzetiségi Önkormányzatok pályázata céltartalék</t>
  </si>
  <si>
    <t>Szolidaritási Alap támogatás</t>
  </si>
  <si>
    <t>Fejlesztési céltartalék</t>
  </si>
  <si>
    <t>Szociális ágazat keresetpótló céltartaléka</t>
  </si>
  <si>
    <t>Intézményi pótlék emelés (ZEO, ZSZSZK, ZCSK)</t>
  </si>
  <si>
    <t>Pályázati önerő céltartalék</t>
  </si>
  <si>
    <t>Iskolakezdési támogatás önkormányzati fenntartású intézmények munkavállalói részére</t>
  </si>
  <si>
    <t>Szomszédom a rendész céltartalék</t>
  </si>
  <si>
    <t>Térfigyelő szoftver beszerzés céltartaléka</t>
  </si>
  <si>
    <t>Zugló 90 éves</t>
  </si>
  <si>
    <t>Részvételi iroda kialakítása céltartalék</t>
  </si>
  <si>
    <t>Intézmények felmentési időre járó  bér, végkielégítés, távolléti díj, szabadságmegváltás céltartaléka</t>
  </si>
  <si>
    <t>Egyéb intézményi beruházási céltartalék</t>
  </si>
  <si>
    <t>Zuglói Fejlesztési Alap 2024. évi lakás értékesítés bevételeiből megvalósuló beruházások</t>
  </si>
  <si>
    <t xml:space="preserve">Zuglói Fejlesztési Alap 2024. évi nem lakás értékesítés bevételeiből megvalósuló beruházások </t>
  </si>
  <si>
    <t>Zelk Zoltán óvodai és bölcsődei fejlesztések</t>
  </si>
  <si>
    <t>Rendőrség támogatása (túlszolgálat, térfigyelő)</t>
  </si>
  <si>
    <t>Helytörténeti Kiállítóhely létrehozása</t>
  </si>
  <si>
    <t>Zugló lexikon 5. kiadása, Zugló lexikon nyomdai költség, Utcalexion projekt</t>
  </si>
  <si>
    <t>Fővárosi Szabó Ervin könyvtár támogatása</t>
  </si>
  <si>
    <t>Zuglóiak Egymásért Alapítvány támogatása</t>
  </si>
  <si>
    <t>Zuglóiak Egymásért Alapítvány Ösztöndíj program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</si>
</sst>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#,##0_ ;[Red]\-#,##0\ "/>
  </numFmts>
  <fonts count="12" x14ac:knownFonts="1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sz val="18"/>
      <name val="Times New Roman"/>
      <family val="1"/>
      <charset val="238"/>
    </font>
    <font>
      <sz val="10"/>
      <name val="MS Sans Serif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2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2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37">
    <xf numFmtId="0" fontId="0" fillId="0" borderId="0" xfId="0"/>
    <xf numFmtId="0" fontId="5" fillId="0" borderId="0" xfId="0" applyFont="1" applyAlignment="1">
      <alignment wrapText="1"/>
    </xf>
    <xf numFmtId="165" fontId="5" fillId="0" borderId="0" xfId="2" applyNumberFormat="1" applyFont="1"/>
    <xf numFmtId="0" fontId="5" fillId="0" borderId="0" xfId="0" applyFont="1"/>
    <xf numFmtId="165" fontId="5" fillId="0" borderId="0" xfId="0" applyNumberFormat="1" applyFont="1"/>
    <xf numFmtId="0" fontId="6" fillId="0" borderId="0" xfId="0" applyFont="1"/>
    <xf numFmtId="165" fontId="7" fillId="0" borderId="0" xfId="2" applyNumberFormat="1" applyFont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65" fontId="8" fillId="2" borderId="3" xfId="2" applyNumberFormat="1" applyFont="1" applyFill="1" applyBorder="1" applyAlignment="1">
      <alignment horizontal="center" vertical="center" wrapText="1"/>
    </xf>
    <xf numFmtId="165" fontId="8" fillId="2" borderId="4" xfId="2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5" fontId="5" fillId="0" borderId="0" xfId="2" applyNumberFormat="1" applyFont="1" applyBorder="1"/>
    <xf numFmtId="165" fontId="5" fillId="0" borderId="6" xfId="2" applyNumberFormat="1" applyFont="1" applyBorder="1"/>
    <xf numFmtId="0" fontId="5" fillId="0" borderId="7" xfId="0" applyFont="1" applyBorder="1" applyAlignment="1">
      <alignment horizontal="left" wrapText="1" indent="3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3" borderId="8" xfId="0" applyFont="1" applyFill="1" applyBorder="1" applyAlignment="1">
      <alignment horizontal="center" vertical="center" wrapText="1"/>
    </xf>
    <xf numFmtId="165" fontId="9" fillId="3" borderId="9" xfId="2" applyNumberFormat="1" applyFont="1" applyFill="1" applyBorder="1" applyAlignment="1">
      <alignment vertical="center"/>
    </xf>
    <xf numFmtId="165" fontId="9" fillId="3" borderId="10" xfId="2" applyNumberFormat="1" applyFont="1" applyFill="1" applyBorder="1" applyAlignment="1">
      <alignment vertical="center"/>
    </xf>
    <xf numFmtId="0" fontId="9" fillId="0" borderId="7" xfId="0" applyFont="1" applyBorder="1" applyAlignment="1">
      <alignment horizontal="left" vertical="center" wrapText="1"/>
    </xf>
    <xf numFmtId="165" fontId="9" fillId="0" borderId="0" xfId="2" applyNumberFormat="1" applyFont="1" applyBorder="1" applyAlignment="1">
      <alignment vertical="center"/>
    </xf>
    <xf numFmtId="165" fontId="9" fillId="0" borderId="6" xfId="2" applyNumberFormat="1" applyFont="1" applyBorder="1" applyAlignment="1">
      <alignment vertical="center"/>
    </xf>
    <xf numFmtId="0" fontId="9" fillId="3" borderId="7" xfId="0" applyFont="1" applyFill="1" applyBorder="1" applyAlignment="1">
      <alignment horizontal="center" vertical="center" wrapText="1"/>
    </xf>
    <xf numFmtId="165" fontId="9" fillId="3" borderId="0" xfId="2" applyNumberFormat="1" applyFont="1" applyFill="1" applyBorder="1" applyAlignment="1">
      <alignment vertical="center"/>
    </xf>
    <xf numFmtId="0" fontId="9" fillId="0" borderId="8" xfId="0" applyFont="1" applyBorder="1" applyAlignment="1">
      <alignment horizontal="center" vertical="center" wrapText="1"/>
    </xf>
    <xf numFmtId="165" fontId="9" fillId="0" borderId="11" xfId="2" applyNumberFormat="1" applyFont="1" applyBorder="1" applyAlignment="1">
      <alignment vertical="top"/>
    </xf>
    <xf numFmtId="165" fontId="9" fillId="0" borderId="9" xfId="2" applyNumberFormat="1" applyFont="1" applyBorder="1" applyAlignment="1">
      <alignment vertical="center"/>
    </xf>
    <xf numFmtId="165" fontId="9" fillId="0" borderId="9" xfId="2" applyNumberFormat="1" applyFont="1" applyBorder="1" applyAlignment="1"/>
    <xf numFmtId="165" fontId="9" fillId="0" borderId="10" xfId="2" applyNumberFormat="1" applyFont="1" applyBorder="1" applyAlignment="1"/>
    <xf numFmtId="165" fontId="9" fillId="3" borderId="5" xfId="2" applyNumberFormat="1" applyFont="1" applyFill="1" applyBorder="1" applyAlignment="1">
      <alignment vertical="center"/>
    </xf>
    <xf numFmtId="165" fontId="9" fillId="3" borderId="6" xfId="2" applyNumberFormat="1" applyFont="1" applyFill="1" applyBorder="1" applyAlignment="1">
      <alignment vertical="center"/>
    </xf>
    <xf numFmtId="0" fontId="8" fillId="2" borderId="12" xfId="0" applyFont="1" applyFill="1" applyBorder="1" applyAlignment="1">
      <alignment horizontal="left" vertical="center" wrapText="1"/>
    </xf>
    <xf numFmtId="165" fontId="8" fillId="2" borderId="13" xfId="2" applyNumberFormat="1" applyFont="1" applyFill="1" applyBorder="1" applyAlignment="1">
      <alignment vertical="center"/>
    </xf>
    <xf numFmtId="165" fontId="8" fillId="2" borderId="14" xfId="2" applyNumberFormat="1" applyFont="1" applyFill="1" applyBorder="1" applyAlignment="1">
      <alignment vertical="center"/>
    </xf>
    <xf numFmtId="165" fontId="8" fillId="2" borderId="15" xfId="2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64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 vertical="center"/>
    </xf>
    <xf numFmtId="0" fontId="5" fillId="0" borderId="1" xfId="0" applyFont="1" applyBorder="1"/>
    <xf numFmtId="0" fontId="5" fillId="0" borderId="16" xfId="0" applyFont="1" applyBorder="1"/>
    <xf numFmtId="0" fontId="5" fillId="0" borderId="7" xfId="0" applyFont="1" applyBorder="1"/>
    <xf numFmtId="0" fontId="5" fillId="0" borderId="0" xfId="0" applyFont="1" applyBorder="1"/>
    <xf numFmtId="164" fontId="5" fillId="0" borderId="7" xfId="0" applyNumberFormat="1" applyFont="1" applyBorder="1"/>
    <xf numFmtId="164" fontId="5" fillId="0" borderId="0" xfId="0" applyNumberFormat="1" applyFont="1" applyBorder="1"/>
    <xf numFmtId="164" fontId="5" fillId="0" borderId="7" xfId="2" applyNumberFormat="1" applyFont="1" applyBorder="1"/>
    <xf numFmtId="0" fontId="9" fillId="0" borderId="7" xfId="0" applyFont="1" applyBorder="1"/>
    <xf numFmtId="0" fontId="9" fillId="0" borderId="0" xfId="0" applyFont="1" applyBorder="1"/>
    <xf numFmtId="164" fontId="9" fillId="0" borderId="7" xfId="0" applyNumberFormat="1" applyFont="1" applyBorder="1" applyAlignment="1">
      <alignment vertical="center"/>
    </xf>
    <xf numFmtId="164" fontId="9" fillId="0" borderId="0" xfId="0" applyNumberFormat="1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164" fontId="8" fillId="0" borderId="7" xfId="0" applyNumberFormat="1" applyFont="1" applyBorder="1" applyAlignment="1">
      <alignment vertical="center"/>
    </xf>
    <xf numFmtId="164" fontId="8" fillId="0" borderId="0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4" fontId="5" fillId="0" borderId="0" xfId="2" applyNumberFormat="1" applyFont="1"/>
    <xf numFmtId="164" fontId="6" fillId="0" borderId="0" xfId="2" applyNumberFormat="1" applyFont="1"/>
    <xf numFmtId="164" fontId="5" fillId="0" borderId="17" xfId="2" applyNumberFormat="1" applyFont="1" applyBorder="1"/>
    <xf numFmtId="164" fontId="5" fillId="0" borderId="6" xfId="2" applyNumberFormat="1" applyFont="1" applyBorder="1"/>
    <xf numFmtId="164" fontId="8" fillId="0" borderId="6" xfId="2" applyNumberFormat="1" applyFont="1" applyBorder="1" applyAlignment="1">
      <alignment horizontal="center" vertical="center"/>
    </xf>
    <xf numFmtId="164" fontId="8" fillId="0" borderId="4" xfId="2" applyNumberFormat="1" applyFont="1" applyBorder="1" applyAlignment="1">
      <alignment horizontal="center" vertical="center" wrapText="1"/>
    </xf>
    <xf numFmtId="164" fontId="9" fillId="0" borderId="6" xfId="2" applyNumberFormat="1" applyFont="1" applyBorder="1"/>
    <xf numFmtId="164" fontId="9" fillId="0" borderId="6" xfId="2" applyNumberFormat="1" applyFont="1" applyBorder="1" applyAlignment="1">
      <alignment vertical="center"/>
    </xf>
    <xf numFmtId="164" fontId="8" fillId="0" borderId="6" xfId="2" applyNumberFormat="1" applyFont="1" applyBorder="1" applyAlignment="1">
      <alignment vertical="center"/>
    </xf>
    <xf numFmtId="10" fontId="2" fillId="0" borderId="0" xfId="3" applyNumberFormat="1" applyFont="1" applyFill="1" applyAlignment="1">
      <alignment horizontal="right"/>
    </xf>
    <xf numFmtId="0" fontId="5" fillId="0" borderId="0" xfId="0" applyFont="1" applyAlignment="1">
      <alignment horizontal="right" wrapText="1"/>
    </xf>
    <xf numFmtId="165" fontId="5" fillId="4" borderId="0" xfId="2" applyNumberFormat="1" applyFont="1" applyFill="1" applyBorder="1"/>
    <xf numFmtId="0" fontId="9" fillId="0" borderId="7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64" fontId="9" fillId="3" borderId="0" xfId="0" applyNumberFormat="1" applyFont="1" applyFill="1" applyAlignment="1">
      <alignment horizontal="center" vertical="center"/>
    </xf>
    <xf numFmtId="164" fontId="9" fillId="3" borderId="7" xfId="0" applyNumberFormat="1" applyFont="1" applyFill="1" applyBorder="1" applyAlignment="1">
      <alignment vertical="center"/>
    </xf>
    <xf numFmtId="164" fontId="9" fillId="3" borderId="0" xfId="0" applyNumberFormat="1" applyFont="1" applyFill="1" applyBorder="1" applyAlignment="1">
      <alignment vertical="center"/>
    </xf>
    <xf numFmtId="164" fontId="9" fillId="3" borderId="6" xfId="2" applyNumberFormat="1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164" fontId="5" fillId="3" borderId="7" xfId="0" applyNumberFormat="1" applyFont="1" applyFill="1" applyBorder="1" applyAlignment="1">
      <alignment vertical="center"/>
    </xf>
    <xf numFmtId="164" fontId="5" fillId="3" borderId="0" xfId="0" applyNumberFormat="1" applyFont="1" applyFill="1" applyBorder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9" fillId="3" borderId="7" xfId="0" applyFont="1" applyFill="1" applyBorder="1" applyAlignment="1">
      <alignment vertical="center"/>
    </xf>
    <xf numFmtId="0" fontId="5" fillId="0" borderId="18" xfId="0" applyFont="1" applyBorder="1" applyAlignment="1">
      <alignment horizontal="right" wrapText="1"/>
    </xf>
    <xf numFmtId="165" fontId="5" fillId="0" borderId="19" xfId="2" applyNumberFormat="1" applyFont="1" applyBorder="1"/>
    <xf numFmtId="165" fontId="5" fillId="0" borderId="20" xfId="2" applyNumberFormat="1" applyFont="1" applyBorder="1"/>
    <xf numFmtId="165" fontId="5" fillId="0" borderId="21" xfId="2" applyNumberFormat="1" applyFont="1" applyBorder="1"/>
    <xf numFmtId="0" fontId="5" fillId="0" borderId="2" xfId="0" applyFont="1" applyBorder="1" applyAlignment="1">
      <alignment horizontal="left" wrapText="1" indent="3"/>
    </xf>
    <xf numFmtId="165" fontId="5" fillId="0" borderId="5" xfId="2" applyNumberFormat="1" applyFont="1" applyFill="1" applyBorder="1"/>
    <xf numFmtId="165" fontId="5" fillId="0" borderId="0" xfId="2" applyNumberFormat="1" applyFont="1" applyFill="1" applyBorder="1"/>
    <xf numFmtId="165" fontId="5" fillId="0" borderId="5" xfId="2" applyNumberFormat="1" applyFont="1" applyFill="1" applyBorder="1" applyAlignment="1"/>
    <xf numFmtId="165" fontId="5" fillId="0" borderId="0" xfId="2" applyNumberFormat="1" applyFont="1" applyFill="1" applyBorder="1" applyAlignment="1"/>
    <xf numFmtId="165" fontId="9" fillId="3" borderId="22" xfId="2" applyNumberFormat="1" applyFont="1" applyFill="1" applyBorder="1" applyAlignment="1">
      <alignment vertical="center"/>
    </xf>
    <xf numFmtId="164" fontId="9" fillId="4" borderId="0" xfId="0" applyNumberFormat="1" applyFont="1" applyFill="1" applyAlignment="1">
      <alignment horizontal="center"/>
    </xf>
    <xf numFmtId="164" fontId="5" fillId="4" borderId="7" xfId="0" applyNumberFormat="1" applyFont="1" applyFill="1" applyBorder="1"/>
    <xf numFmtId="164" fontId="5" fillId="4" borderId="6" xfId="2" applyNumberFormat="1" applyFont="1" applyFill="1" applyBorder="1"/>
    <xf numFmtId="0" fontId="5" fillId="4" borderId="0" xfId="0" applyFont="1" applyFill="1"/>
    <xf numFmtId="165" fontId="5" fillId="0" borderId="6" xfId="2" applyNumberFormat="1" applyFont="1" applyFill="1" applyBorder="1"/>
    <xf numFmtId="165" fontId="5" fillId="0" borderId="6" xfId="2" applyNumberFormat="1" applyFont="1" applyFill="1" applyBorder="1" applyAlignment="1"/>
    <xf numFmtId="0" fontId="5" fillId="0" borderId="7" xfId="0" applyFont="1" applyFill="1" applyBorder="1" applyAlignment="1">
      <alignment horizontal="left" wrapText="1" indent="3"/>
    </xf>
    <xf numFmtId="3" fontId="9" fillId="0" borderId="5" xfId="2" applyNumberFormat="1" applyFont="1" applyBorder="1" applyAlignment="1">
      <alignment vertical="center"/>
    </xf>
    <xf numFmtId="0" fontId="10" fillId="0" borderId="0" xfId="0" applyFont="1"/>
    <xf numFmtId="165" fontId="5" fillId="4" borderId="0" xfId="0" applyNumberFormat="1" applyFont="1" applyFill="1"/>
    <xf numFmtId="165" fontId="9" fillId="3" borderId="0" xfId="0" applyNumberFormat="1" applyFont="1" applyFill="1" applyAlignment="1">
      <alignment vertical="center"/>
    </xf>
    <xf numFmtId="165" fontId="9" fillId="3" borderId="5" xfId="2" applyNumberFormat="1" applyFont="1" applyFill="1" applyBorder="1" applyAlignment="1">
      <alignment vertical="center" wrapText="1"/>
    </xf>
    <xf numFmtId="3" fontId="9" fillId="3" borderId="11" xfId="0" applyNumberFormat="1" applyFont="1" applyFill="1" applyBorder="1" applyAlignment="1">
      <alignment vertical="center" wrapText="1"/>
    </xf>
    <xf numFmtId="0" fontId="9" fillId="3" borderId="25" xfId="0" applyFont="1" applyFill="1" applyBorder="1" applyAlignment="1">
      <alignment horizontal="center" vertical="center" wrapText="1"/>
    </xf>
    <xf numFmtId="3" fontId="9" fillId="3" borderId="24" xfId="0" applyNumberFormat="1" applyFont="1" applyFill="1" applyBorder="1" applyAlignment="1">
      <alignment vertical="center" wrapText="1"/>
    </xf>
    <xf numFmtId="165" fontId="9" fillId="3" borderId="26" xfId="2" applyNumberFormat="1" applyFont="1" applyFill="1" applyBorder="1" applyAlignment="1">
      <alignment vertical="center"/>
    </xf>
    <xf numFmtId="165" fontId="9" fillId="3" borderId="27" xfId="2" applyNumberFormat="1" applyFont="1" applyFill="1" applyBorder="1" applyAlignment="1">
      <alignment vertical="center"/>
    </xf>
    <xf numFmtId="165" fontId="9" fillId="0" borderId="0" xfId="0" applyNumberFormat="1" applyFont="1" applyAlignment="1">
      <alignment vertical="center"/>
    </xf>
    <xf numFmtId="165" fontId="9" fillId="3" borderId="7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left" wrapText="1" indent="3"/>
    </xf>
    <xf numFmtId="165" fontId="5" fillId="0" borderId="11" xfId="2" applyNumberFormat="1" applyFont="1" applyFill="1" applyBorder="1"/>
    <xf numFmtId="165" fontId="5" fillId="0" borderId="9" xfId="2" applyNumberFormat="1" applyFont="1" applyFill="1" applyBorder="1"/>
    <xf numFmtId="165" fontId="5" fillId="0" borderId="9" xfId="2" applyNumberFormat="1" applyFont="1" applyFill="1" applyBorder="1" applyAlignment="1"/>
    <xf numFmtId="165" fontId="5" fillId="0" borderId="10" xfId="2" applyNumberFormat="1" applyFont="1" applyFill="1" applyBorder="1"/>
    <xf numFmtId="165" fontId="5" fillId="0" borderId="5" xfId="2" applyNumberFormat="1" applyFont="1" applyFill="1" applyBorder="1" applyAlignment="1">
      <alignment vertical="center"/>
    </xf>
    <xf numFmtId="165" fontId="5" fillId="0" borderId="0" xfId="2" applyNumberFormat="1" applyFont="1" applyFill="1" applyBorder="1" applyAlignment="1">
      <alignment vertical="center"/>
    </xf>
    <xf numFmtId="165" fontId="5" fillId="0" borderId="6" xfId="2" applyNumberFormat="1" applyFont="1" applyFill="1" applyBorder="1" applyAlignment="1">
      <alignment vertical="center"/>
    </xf>
    <xf numFmtId="165" fontId="5" fillId="0" borderId="23" xfId="2" applyNumberFormat="1" applyFont="1" applyFill="1" applyBorder="1"/>
    <xf numFmtId="165" fontId="5" fillId="0" borderId="3" xfId="2" applyNumberFormat="1" applyFont="1" applyFill="1" applyBorder="1"/>
    <xf numFmtId="165" fontId="5" fillId="0" borderId="4" xfId="2" applyNumberFormat="1" applyFont="1" applyFill="1" applyBorder="1"/>
    <xf numFmtId="3" fontId="5" fillId="0" borderId="0" xfId="2" applyNumberFormat="1" applyFont="1" applyFill="1" applyBorder="1"/>
    <xf numFmtId="165" fontId="5" fillId="0" borderId="5" xfId="2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horizontal="left" vertical="center" wrapText="1" indent="3"/>
    </xf>
    <xf numFmtId="0" fontId="5" fillId="0" borderId="7" xfId="0" applyFont="1" applyFill="1" applyBorder="1" applyAlignment="1">
      <alignment horizontal="left" vertical="center" wrapText="1" indent="3"/>
    </xf>
    <xf numFmtId="0" fontId="5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165" fontId="8" fillId="2" borderId="22" xfId="2" applyNumberFormat="1" applyFont="1" applyFill="1" applyBorder="1" applyAlignment="1">
      <alignment horizontal="center" vertical="center" wrapText="1"/>
    </xf>
    <xf numFmtId="165" fontId="8" fillId="2" borderId="23" xfId="2" applyNumberFormat="1" applyFont="1" applyFill="1" applyBorder="1" applyAlignment="1">
      <alignment horizontal="center" vertical="center" wrapText="1"/>
    </xf>
    <xf numFmtId="165" fontId="8" fillId="2" borderId="14" xfId="2" applyNumberFormat="1" applyFont="1" applyFill="1" applyBorder="1" applyAlignment="1">
      <alignment horizontal="center" vertical="center"/>
    </xf>
    <xf numFmtId="165" fontId="8" fillId="2" borderId="15" xfId="2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</cellXfs>
  <cellStyles count="4">
    <cellStyle name="_2006KVI0307alapokÚJ" xfId="1" xr:uid="{00000000-0005-0000-0000-000000000000}"/>
    <cellStyle name="Ezres" xfId="2" builtinId="3"/>
    <cellStyle name="Normál" xfId="0" builtinId="0"/>
    <cellStyle name="Százalék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6"/>
  <sheetViews>
    <sheetView tabSelected="1" view="pageBreakPreview" zoomScaleNormal="100" zoomScaleSheetLayoutView="100" workbookViewId="0">
      <selection activeCell="M26" sqref="M24:M26"/>
    </sheetView>
  </sheetViews>
  <sheetFormatPr defaultColWidth="9.140625" defaultRowHeight="15.75" x14ac:dyDescent="0.25"/>
  <cols>
    <col min="1" max="1" width="54" style="1" customWidth="1"/>
    <col min="2" max="2" width="18.28515625" style="2" customWidth="1"/>
    <col min="3" max="3" width="18.7109375" style="2" customWidth="1"/>
    <col min="4" max="4" width="19.7109375" style="2" customWidth="1"/>
    <col min="5" max="5" width="23.7109375" style="2" customWidth="1"/>
    <col min="6" max="6" width="27" style="2" customWidth="1"/>
    <col min="7" max="7" width="8.5703125" style="38" hidden="1" customWidth="1"/>
    <col min="8" max="8" width="18" style="3" hidden="1" customWidth="1"/>
    <col min="9" max="9" width="19.5703125" style="3" hidden="1" customWidth="1"/>
    <col min="10" max="10" width="18.85546875" style="60" hidden="1" customWidth="1"/>
    <col min="11" max="11" width="14.85546875" style="3" customWidth="1"/>
    <col min="12" max="12" width="14.28515625" style="3" customWidth="1"/>
    <col min="13" max="13" width="9.140625" style="3" customWidth="1"/>
    <col min="14" max="16384" width="9.140625" style="3"/>
  </cols>
  <sheetData>
    <row r="1" spans="1:12" ht="22.5" x14ac:dyDescent="0.3">
      <c r="F1" s="69" t="s">
        <v>80</v>
      </c>
      <c r="H1" s="4"/>
      <c r="I1" s="4"/>
    </row>
    <row r="2" spans="1:12" ht="21" customHeight="1" x14ac:dyDescent="0.25"/>
    <row r="3" spans="1:12" s="5" customFormat="1" ht="87" customHeight="1" thickBot="1" x14ac:dyDescent="0.45">
      <c r="A3" s="128" t="s">
        <v>93</v>
      </c>
      <c r="B3" s="128"/>
      <c r="C3" s="128"/>
      <c r="D3" s="128"/>
      <c r="E3" s="128"/>
      <c r="F3" s="128"/>
      <c r="G3" s="38"/>
      <c r="J3" s="61"/>
    </row>
    <row r="4" spans="1:12" ht="17.25" customHeight="1" x14ac:dyDescent="0.25">
      <c r="H4" s="43"/>
      <c r="I4" s="44"/>
      <c r="J4" s="62"/>
    </row>
    <row r="5" spans="1:12" ht="16.5" thickBot="1" x14ac:dyDescent="0.3">
      <c r="F5" s="6" t="s">
        <v>6</v>
      </c>
      <c r="H5" s="45"/>
      <c r="I5" s="46"/>
      <c r="J5" s="63"/>
    </row>
    <row r="6" spans="1:12" s="8" customFormat="1" ht="28.5" customHeight="1" thickBot="1" x14ac:dyDescent="0.3">
      <c r="A6" s="7"/>
      <c r="B6" s="129" t="s">
        <v>92</v>
      </c>
      <c r="C6" s="131" t="s">
        <v>94</v>
      </c>
      <c r="D6" s="131"/>
      <c r="E6" s="131"/>
      <c r="F6" s="132"/>
      <c r="G6" s="39"/>
      <c r="H6" s="133" t="s">
        <v>8</v>
      </c>
      <c r="I6" s="134"/>
      <c r="J6" s="64"/>
    </row>
    <row r="7" spans="1:12" s="12" customFormat="1" ht="96.75" customHeight="1" thickBot="1" x14ac:dyDescent="0.3">
      <c r="A7" s="9" t="s">
        <v>24</v>
      </c>
      <c r="B7" s="130"/>
      <c r="C7" s="10" t="s">
        <v>63</v>
      </c>
      <c r="D7" s="10" t="s">
        <v>64</v>
      </c>
      <c r="E7" s="10" t="s">
        <v>65</v>
      </c>
      <c r="F7" s="11" t="s">
        <v>9</v>
      </c>
      <c r="G7" s="40"/>
      <c r="H7" s="58" t="s">
        <v>41</v>
      </c>
      <c r="I7" s="59" t="s">
        <v>7</v>
      </c>
      <c r="J7" s="65" t="s">
        <v>42</v>
      </c>
    </row>
    <row r="8" spans="1:12" s="78" customFormat="1" ht="26.1" customHeight="1" x14ac:dyDescent="0.25">
      <c r="A8" s="24" t="s">
        <v>0</v>
      </c>
      <c r="B8" s="92">
        <f t="shared" ref="B8:F8" si="0">SUM(B9:B18)</f>
        <v>13794588</v>
      </c>
      <c r="C8" s="25">
        <f t="shared" si="0"/>
        <v>1306269</v>
      </c>
      <c r="D8" s="25">
        <f t="shared" si="0"/>
        <v>7567608</v>
      </c>
      <c r="E8" s="25">
        <f t="shared" si="0"/>
        <v>4920711</v>
      </c>
      <c r="F8" s="32">
        <f t="shared" si="0"/>
        <v>13794588</v>
      </c>
      <c r="G8" s="74">
        <v>1</v>
      </c>
      <c r="H8" s="75"/>
      <c r="I8" s="76"/>
      <c r="J8" s="77"/>
      <c r="L8" s="103"/>
    </row>
    <row r="9" spans="1:12" x14ac:dyDescent="0.25">
      <c r="A9" s="15" t="s">
        <v>46</v>
      </c>
      <c r="B9" s="88">
        <v>6183259</v>
      </c>
      <c r="C9" s="89">
        <v>304574</v>
      </c>
      <c r="D9" s="89">
        <f t="shared" ref="D9:D10" si="1">B9-C9-E9</f>
        <v>1612536</v>
      </c>
      <c r="E9" s="89">
        <f>3822959+443190</f>
        <v>4266149</v>
      </c>
      <c r="F9" s="97">
        <f>SUM(C9:E9)</f>
        <v>6183259</v>
      </c>
      <c r="G9" s="41" t="s">
        <v>33</v>
      </c>
      <c r="H9" s="47">
        <v>1748976</v>
      </c>
      <c r="I9" s="13">
        <v>671582</v>
      </c>
      <c r="J9" s="63">
        <v>65</v>
      </c>
    </row>
    <row r="10" spans="1:12" x14ac:dyDescent="0.25">
      <c r="A10" s="15" t="s">
        <v>47</v>
      </c>
      <c r="B10" s="88">
        <v>2296231</v>
      </c>
      <c r="C10" s="89">
        <v>1001695</v>
      </c>
      <c r="D10" s="89">
        <f t="shared" si="1"/>
        <v>639974</v>
      </c>
      <c r="E10" s="89">
        <v>654562</v>
      </c>
      <c r="F10" s="97">
        <f t="shared" ref="F10:F76" si="2">SUM(C10:E10)</f>
        <v>2296231</v>
      </c>
      <c r="G10" s="41" t="s">
        <v>34</v>
      </c>
      <c r="H10" s="47">
        <f>66490-1012+229175</f>
        <v>294653</v>
      </c>
      <c r="I10" s="13">
        <f>54927+41106</f>
        <v>96033</v>
      </c>
      <c r="J10" s="63"/>
    </row>
    <row r="11" spans="1:12" hidden="1" x14ac:dyDescent="0.25">
      <c r="A11" s="15"/>
      <c r="B11" s="88"/>
      <c r="C11" s="89"/>
      <c r="D11" s="89"/>
      <c r="E11" s="89"/>
      <c r="F11" s="97"/>
      <c r="G11" s="41"/>
      <c r="H11" s="47"/>
      <c r="I11" s="48"/>
      <c r="J11" s="63"/>
    </row>
    <row r="12" spans="1:12" hidden="1" x14ac:dyDescent="0.25">
      <c r="A12" s="15"/>
      <c r="B12" s="88"/>
      <c r="C12" s="89"/>
      <c r="D12" s="89"/>
      <c r="E12" s="89"/>
      <c r="F12" s="97"/>
      <c r="G12" s="41"/>
      <c r="H12" s="47"/>
      <c r="I12" s="48"/>
      <c r="J12" s="63"/>
    </row>
    <row r="13" spans="1:12" hidden="1" x14ac:dyDescent="0.25">
      <c r="A13" s="15"/>
      <c r="B13" s="88"/>
      <c r="C13" s="89"/>
      <c r="D13" s="89"/>
      <c r="E13" s="89"/>
      <c r="F13" s="97"/>
      <c r="G13" s="41"/>
      <c r="H13" s="47"/>
      <c r="I13" s="48"/>
      <c r="J13" s="63"/>
    </row>
    <row r="14" spans="1:12" hidden="1" x14ac:dyDescent="0.25">
      <c r="A14" s="15"/>
      <c r="B14" s="90"/>
      <c r="C14" s="91"/>
      <c r="D14" s="91"/>
      <c r="E14" s="91"/>
      <c r="F14" s="98"/>
      <c r="G14" s="41"/>
      <c r="H14" s="47"/>
      <c r="I14" s="48"/>
      <c r="J14" s="63"/>
    </row>
    <row r="15" spans="1:12" hidden="1" x14ac:dyDescent="0.25">
      <c r="A15" s="15"/>
      <c r="B15" s="88"/>
      <c r="C15" s="89"/>
      <c r="D15" s="89"/>
      <c r="E15" s="89"/>
      <c r="F15" s="97"/>
      <c r="G15" s="41"/>
      <c r="H15" s="47"/>
      <c r="I15" s="48"/>
      <c r="J15" s="63"/>
    </row>
    <row r="16" spans="1:12" hidden="1" x14ac:dyDescent="0.25">
      <c r="A16" s="15"/>
      <c r="B16" s="88"/>
      <c r="C16" s="89"/>
      <c r="D16" s="89"/>
      <c r="E16" s="89"/>
      <c r="F16" s="97"/>
      <c r="G16" s="41"/>
      <c r="H16" s="47"/>
      <c r="I16" s="48"/>
      <c r="J16" s="63"/>
      <c r="K16" s="101"/>
    </row>
    <row r="17" spans="1:12" hidden="1" x14ac:dyDescent="0.25">
      <c r="A17" s="15"/>
      <c r="B17" s="88"/>
      <c r="C17" s="89"/>
      <c r="D17" s="89"/>
      <c r="E17" s="89"/>
      <c r="F17" s="97"/>
      <c r="G17" s="41"/>
      <c r="H17" s="47"/>
      <c r="I17" s="48"/>
      <c r="J17" s="63"/>
      <c r="K17" s="101"/>
    </row>
    <row r="18" spans="1:12" ht="18.75" customHeight="1" x14ac:dyDescent="0.25">
      <c r="A18" s="15" t="s">
        <v>29</v>
      </c>
      <c r="B18" s="88">
        <v>5315098</v>
      </c>
      <c r="C18" s="89"/>
      <c r="D18" s="89">
        <f>B18-C18-E18</f>
        <v>5315098</v>
      </c>
      <c r="E18" s="89"/>
      <c r="F18" s="97">
        <f>SUM(C18:E18)</f>
        <v>5315098</v>
      </c>
      <c r="G18" s="41"/>
      <c r="H18" s="47"/>
      <c r="I18" s="48"/>
      <c r="J18" s="63"/>
    </row>
    <row r="19" spans="1:12" s="78" customFormat="1" ht="26.1" customHeight="1" x14ac:dyDescent="0.25">
      <c r="A19" s="24" t="s">
        <v>2</v>
      </c>
      <c r="B19" s="31">
        <f t="shared" ref="B19:F19" si="3">SUM(B20:B34)</f>
        <v>6055677</v>
      </c>
      <c r="C19" s="25">
        <f t="shared" si="3"/>
        <v>413115</v>
      </c>
      <c r="D19" s="25">
        <f t="shared" si="3"/>
        <v>2624434</v>
      </c>
      <c r="E19" s="25">
        <f t="shared" si="3"/>
        <v>3018128</v>
      </c>
      <c r="F19" s="32">
        <f t="shared" si="3"/>
        <v>6055677</v>
      </c>
      <c r="G19" s="74">
        <v>2</v>
      </c>
      <c r="H19" s="79"/>
      <c r="I19" s="80"/>
      <c r="J19" s="77"/>
    </row>
    <row r="20" spans="1:12" s="96" customFormat="1" x14ac:dyDescent="0.25">
      <c r="A20" s="99" t="s">
        <v>10</v>
      </c>
      <c r="B20" s="88">
        <v>3533776</v>
      </c>
      <c r="C20" s="123">
        <v>222563</v>
      </c>
      <c r="D20" s="89">
        <f>B20-C20-E20</f>
        <v>835752</v>
      </c>
      <c r="E20" s="89">
        <f>509702+1093362+474742+397655</f>
        <v>2475461</v>
      </c>
      <c r="F20" s="97">
        <f t="shared" si="2"/>
        <v>3533776</v>
      </c>
      <c r="G20" s="93" t="s">
        <v>33</v>
      </c>
      <c r="H20" s="94">
        <v>433302</v>
      </c>
      <c r="I20" s="71">
        <v>527732</v>
      </c>
      <c r="J20" s="95">
        <v>133</v>
      </c>
      <c r="L20" s="102"/>
    </row>
    <row r="21" spans="1:12" x14ac:dyDescent="0.25">
      <c r="A21" s="15" t="s">
        <v>11</v>
      </c>
      <c r="B21" s="88">
        <v>690382</v>
      </c>
      <c r="C21" s="89">
        <v>0</v>
      </c>
      <c r="D21" s="89">
        <f>B21-C21-E21</f>
        <v>388595</v>
      </c>
      <c r="E21" s="89">
        <f>297980+3807</f>
        <v>301787</v>
      </c>
      <c r="F21" s="97">
        <f t="shared" si="2"/>
        <v>690382</v>
      </c>
      <c r="G21" s="41" t="s">
        <v>34</v>
      </c>
      <c r="H21" s="47">
        <v>87260</v>
      </c>
      <c r="I21" s="13">
        <v>142732</v>
      </c>
      <c r="J21" s="63">
        <v>1527</v>
      </c>
      <c r="K21" s="4"/>
      <c r="L21" s="4"/>
    </row>
    <row r="22" spans="1:12" x14ac:dyDescent="0.25">
      <c r="A22" s="15" t="s">
        <v>12</v>
      </c>
      <c r="B22" s="88">
        <v>1278352</v>
      </c>
      <c r="C22" s="89">
        <v>190552</v>
      </c>
      <c r="D22" s="89">
        <f>B22-C22-E22</f>
        <v>846920</v>
      </c>
      <c r="E22" s="89">
        <f>219060+21820</f>
        <v>240880</v>
      </c>
      <c r="F22" s="97">
        <f t="shared" si="2"/>
        <v>1278352</v>
      </c>
      <c r="G22" s="41" t="s">
        <v>35</v>
      </c>
      <c r="H22" s="47">
        <v>96119</v>
      </c>
      <c r="I22" s="13">
        <v>297753</v>
      </c>
      <c r="J22" s="63">
        <v>6404</v>
      </c>
    </row>
    <row r="23" spans="1:12" hidden="1" x14ac:dyDescent="0.25">
      <c r="A23" s="15" t="s">
        <v>72</v>
      </c>
      <c r="B23" s="90"/>
      <c r="C23" s="91"/>
      <c r="D23" s="91"/>
      <c r="E23" s="91"/>
      <c r="F23" s="98">
        <f t="shared" si="2"/>
        <v>0</v>
      </c>
      <c r="G23" s="41" t="s">
        <v>37</v>
      </c>
      <c r="H23" s="47"/>
      <c r="I23" s="48"/>
      <c r="J23" s="63"/>
    </row>
    <row r="24" spans="1:12" x14ac:dyDescent="0.25">
      <c r="A24" s="15" t="s">
        <v>62</v>
      </c>
      <c r="B24" s="88">
        <f>1000+2000</f>
        <v>3000</v>
      </c>
      <c r="C24" s="89"/>
      <c r="D24" s="89">
        <f>B24-C24-E24</f>
        <v>3000</v>
      </c>
      <c r="E24" s="89"/>
      <c r="F24" s="97">
        <f t="shared" si="2"/>
        <v>3000</v>
      </c>
      <c r="G24" s="41" t="s">
        <v>38</v>
      </c>
      <c r="H24" s="47"/>
      <c r="I24" s="48"/>
      <c r="J24" s="63"/>
    </row>
    <row r="25" spans="1:12" hidden="1" x14ac:dyDescent="0.25">
      <c r="A25" s="15"/>
      <c r="B25" s="88"/>
      <c r="C25" s="89"/>
      <c r="D25" s="89">
        <f>B25-C25-E25</f>
        <v>0</v>
      </c>
      <c r="E25" s="89"/>
      <c r="F25" s="97">
        <f t="shared" si="2"/>
        <v>0</v>
      </c>
      <c r="G25" s="41" t="s">
        <v>39</v>
      </c>
      <c r="H25" s="47"/>
      <c r="I25" s="48"/>
      <c r="J25" s="63"/>
    </row>
    <row r="26" spans="1:12" ht="30" x14ac:dyDescent="0.25">
      <c r="A26" s="15" t="s">
        <v>102</v>
      </c>
      <c r="B26" s="88">
        <v>20000</v>
      </c>
      <c r="C26" s="89"/>
      <c r="D26" s="89">
        <v>20000</v>
      </c>
      <c r="E26" s="89"/>
      <c r="F26" s="97">
        <v>20000</v>
      </c>
      <c r="G26" s="41"/>
      <c r="H26" s="47"/>
      <c r="I26" s="48"/>
      <c r="J26" s="63"/>
    </row>
    <row r="27" spans="1:12" x14ac:dyDescent="0.25">
      <c r="A27" s="15" t="s">
        <v>99</v>
      </c>
      <c r="B27" s="88">
        <v>20000</v>
      </c>
      <c r="C27" s="89"/>
      <c r="D27" s="89">
        <f>B27-C27-E27</f>
        <v>20000</v>
      </c>
      <c r="E27" s="89"/>
      <c r="F27" s="97">
        <f t="shared" si="2"/>
        <v>20000</v>
      </c>
      <c r="G27" s="41"/>
      <c r="H27" s="47"/>
      <c r="I27" s="48"/>
      <c r="J27" s="63"/>
    </row>
    <row r="28" spans="1:12" x14ac:dyDescent="0.25">
      <c r="A28" s="15" t="s">
        <v>77</v>
      </c>
      <c r="B28" s="88">
        <v>20000</v>
      </c>
      <c r="C28" s="89"/>
      <c r="D28" s="89">
        <f>B28-C28-E28</f>
        <v>20000</v>
      </c>
      <c r="E28" s="89"/>
      <c r="F28" s="97">
        <f t="shared" si="2"/>
        <v>20000</v>
      </c>
      <c r="G28" s="41"/>
      <c r="H28" s="47"/>
      <c r="I28" s="48"/>
      <c r="J28" s="63"/>
    </row>
    <row r="29" spans="1:12" x14ac:dyDescent="0.25">
      <c r="A29" s="15" t="s">
        <v>100</v>
      </c>
      <c r="B29" s="88">
        <v>20000</v>
      </c>
      <c r="C29" s="89"/>
      <c r="D29" s="89">
        <v>20000</v>
      </c>
      <c r="E29" s="89"/>
      <c r="F29" s="97">
        <v>20000</v>
      </c>
      <c r="G29" s="41"/>
      <c r="H29" s="47"/>
      <c r="I29" s="48"/>
      <c r="J29" s="63"/>
    </row>
    <row r="30" spans="1:12" x14ac:dyDescent="0.25">
      <c r="A30" s="15" t="s">
        <v>91</v>
      </c>
      <c r="B30" s="88">
        <f>11055+2032+3810+15000</f>
        <v>31897</v>
      </c>
      <c r="C30" s="89"/>
      <c r="D30" s="89">
        <v>31897</v>
      </c>
      <c r="E30" s="89"/>
      <c r="F30" s="97">
        <v>31897</v>
      </c>
      <c r="G30" s="41"/>
      <c r="H30" s="47"/>
      <c r="I30" s="48"/>
      <c r="J30" s="63"/>
    </row>
    <row r="31" spans="1:12" ht="30" x14ac:dyDescent="0.25">
      <c r="A31" s="15" t="s">
        <v>117</v>
      </c>
      <c r="B31" s="88">
        <v>20000</v>
      </c>
      <c r="C31" s="89"/>
      <c r="D31" s="89">
        <v>20000</v>
      </c>
      <c r="E31" s="89"/>
      <c r="F31" s="97">
        <v>20000</v>
      </c>
      <c r="G31" s="41"/>
      <c r="H31" s="47"/>
      <c r="I31" s="48"/>
      <c r="J31" s="63"/>
    </row>
    <row r="32" spans="1:12" x14ac:dyDescent="0.25">
      <c r="A32" s="15" t="s">
        <v>116</v>
      </c>
      <c r="B32" s="88">
        <v>7000</v>
      </c>
      <c r="C32" s="89"/>
      <c r="D32" s="89">
        <v>7000</v>
      </c>
      <c r="E32" s="89"/>
      <c r="F32" s="97">
        <v>7000</v>
      </c>
      <c r="G32" s="41"/>
      <c r="H32" s="47"/>
      <c r="I32" s="48"/>
      <c r="J32" s="63"/>
    </row>
    <row r="33" spans="1:10" x14ac:dyDescent="0.25">
      <c r="A33" s="15" t="s">
        <v>90</v>
      </c>
      <c r="B33" s="88">
        <v>11270</v>
      </c>
      <c r="C33" s="89"/>
      <c r="D33" s="89">
        <f>B33-C33-E33</f>
        <v>11270</v>
      </c>
      <c r="E33" s="89"/>
      <c r="F33" s="97">
        <f t="shared" si="2"/>
        <v>11270</v>
      </c>
      <c r="G33" s="41"/>
      <c r="H33" s="47"/>
      <c r="I33" s="48"/>
      <c r="J33" s="63"/>
    </row>
    <row r="34" spans="1:10" x14ac:dyDescent="0.25">
      <c r="A34" s="15" t="s">
        <v>48</v>
      </c>
      <c r="B34" s="88">
        <v>400000</v>
      </c>
      <c r="C34" s="89"/>
      <c r="D34" s="89">
        <f>B34-C34-E34</f>
        <v>400000</v>
      </c>
      <c r="E34" s="89"/>
      <c r="F34" s="97">
        <f t="shared" si="2"/>
        <v>400000</v>
      </c>
      <c r="G34" s="41" t="s">
        <v>40</v>
      </c>
      <c r="H34" s="47"/>
      <c r="I34" s="48"/>
      <c r="J34" s="63"/>
    </row>
    <row r="35" spans="1:10" s="78" customFormat="1" ht="26.1" customHeight="1" x14ac:dyDescent="0.25">
      <c r="A35" s="24" t="s">
        <v>3</v>
      </c>
      <c r="B35" s="31">
        <f>SUM(B36:B45)</f>
        <v>7220461</v>
      </c>
      <c r="C35" s="25">
        <f t="shared" ref="C35:F35" si="4">SUM(C36:C45)</f>
        <v>95210</v>
      </c>
      <c r="D35" s="25">
        <f t="shared" si="4"/>
        <v>2456882</v>
      </c>
      <c r="E35" s="25">
        <f t="shared" si="4"/>
        <v>4668369</v>
      </c>
      <c r="F35" s="32">
        <f t="shared" si="4"/>
        <v>7220461</v>
      </c>
      <c r="G35" s="74">
        <v>3</v>
      </c>
      <c r="H35" s="79"/>
      <c r="I35" s="80"/>
      <c r="J35" s="77"/>
    </row>
    <row r="36" spans="1:10" x14ac:dyDescent="0.25">
      <c r="A36" s="15" t="s">
        <v>13</v>
      </c>
      <c r="B36" s="88">
        <f>7190901-400000</f>
        <v>6790901</v>
      </c>
      <c r="C36" s="89">
        <v>95210</v>
      </c>
      <c r="D36" s="89">
        <f>2427322-400000</f>
        <v>2027322</v>
      </c>
      <c r="E36" s="89">
        <v>4668369</v>
      </c>
      <c r="F36" s="97">
        <f>SUM(C36:E36)</f>
        <v>6790901</v>
      </c>
      <c r="G36" s="41" t="s">
        <v>33</v>
      </c>
      <c r="H36" s="47">
        <v>14420</v>
      </c>
      <c r="I36" s="13">
        <v>285049</v>
      </c>
      <c r="J36" s="63">
        <f>1245004-14420</f>
        <v>1230584</v>
      </c>
    </row>
    <row r="37" spans="1:10" hidden="1" x14ac:dyDescent="0.25">
      <c r="A37" s="15" t="s">
        <v>23</v>
      </c>
      <c r="B37" s="88"/>
      <c r="C37" s="89"/>
      <c r="D37" s="89">
        <f t="shared" ref="D37:D45" si="5">B37-C37-E37</f>
        <v>0</v>
      </c>
      <c r="E37" s="89"/>
      <c r="F37" s="97">
        <f t="shared" ref="F37:F43" si="6">SUM(C37:E37)</f>
        <v>0</v>
      </c>
      <c r="G37" s="41" t="s">
        <v>34</v>
      </c>
      <c r="H37" s="47"/>
      <c r="I37" s="48"/>
      <c r="J37" s="63"/>
    </row>
    <row r="38" spans="1:10" x14ac:dyDescent="0.25">
      <c r="A38" s="15" t="s">
        <v>49</v>
      </c>
      <c r="B38" s="88">
        <v>2500</v>
      </c>
      <c r="C38" s="89"/>
      <c r="D38" s="89">
        <f t="shared" si="5"/>
        <v>2500</v>
      </c>
      <c r="E38" s="89"/>
      <c r="F38" s="97">
        <f t="shared" si="6"/>
        <v>2500</v>
      </c>
      <c r="G38" s="41" t="s">
        <v>35</v>
      </c>
      <c r="H38" s="47"/>
      <c r="I38" s="48"/>
      <c r="J38" s="63"/>
    </row>
    <row r="39" spans="1:10" ht="30" x14ac:dyDescent="0.25">
      <c r="A39" s="15" t="s">
        <v>66</v>
      </c>
      <c r="B39" s="90">
        <v>12700</v>
      </c>
      <c r="C39" s="91"/>
      <c r="D39" s="91">
        <f t="shared" si="5"/>
        <v>12700</v>
      </c>
      <c r="E39" s="91"/>
      <c r="F39" s="98">
        <f t="shared" si="6"/>
        <v>12700</v>
      </c>
      <c r="G39" s="41" t="s">
        <v>36</v>
      </c>
      <c r="H39" s="47"/>
      <c r="I39" s="48"/>
      <c r="J39" s="63">
        <v>3400</v>
      </c>
    </row>
    <row r="40" spans="1:10" x14ac:dyDescent="0.25">
      <c r="A40" s="15" t="s">
        <v>50</v>
      </c>
      <c r="B40" s="88">
        <v>800</v>
      </c>
      <c r="C40" s="89"/>
      <c r="D40" s="89">
        <f t="shared" si="5"/>
        <v>800</v>
      </c>
      <c r="E40" s="89"/>
      <c r="F40" s="97">
        <f t="shared" si="6"/>
        <v>800</v>
      </c>
      <c r="G40" s="41" t="s">
        <v>37</v>
      </c>
      <c r="H40" s="47"/>
      <c r="I40" s="48"/>
      <c r="J40" s="63"/>
    </row>
    <row r="41" spans="1:10" hidden="1" x14ac:dyDescent="0.25">
      <c r="A41" s="15"/>
      <c r="B41" s="88"/>
      <c r="C41" s="89"/>
      <c r="D41" s="89">
        <f t="shared" si="5"/>
        <v>0</v>
      </c>
      <c r="E41" s="89"/>
      <c r="F41" s="97">
        <f t="shared" si="6"/>
        <v>0</v>
      </c>
      <c r="G41" s="41" t="s">
        <v>38</v>
      </c>
      <c r="H41" s="47"/>
      <c r="I41" s="48"/>
      <c r="J41" s="63"/>
    </row>
    <row r="42" spans="1:10" hidden="1" x14ac:dyDescent="0.25">
      <c r="A42" s="15"/>
      <c r="B42" s="88"/>
      <c r="C42" s="89"/>
      <c r="D42" s="89">
        <f t="shared" si="5"/>
        <v>0</v>
      </c>
      <c r="E42" s="89"/>
      <c r="F42" s="97">
        <f t="shared" si="6"/>
        <v>0</v>
      </c>
      <c r="G42" s="41"/>
      <c r="H42" s="47"/>
      <c r="I42" s="48"/>
      <c r="J42" s="63"/>
    </row>
    <row r="43" spans="1:10" x14ac:dyDescent="0.25">
      <c r="A43" s="15" t="s">
        <v>81</v>
      </c>
      <c r="B43" s="88">
        <v>400000</v>
      </c>
      <c r="C43" s="89"/>
      <c r="D43" s="89">
        <f t="shared" si="5"/>
        <v>400000</v>
      </c>
      <c r="E43" s="89"/>
      <c r="F43" s="97">
        <f t="shared" si="6"/>
        <v>400000</v>
      </c>
      <c r="G43" s="41" t="s">
        <v>39</v>
      </c>
      <c r="H43" s="47"/>
      <c r="I43" s="48"/>
      <c r="J43" s="63"/>
    </row>
    <row r="44" spans="1:10" hidden="1" x14ac:dyDescent="0.25">
      <c r="A44" s="15"/>
      <c r="B44" s="88"/>
      <c r="C44" s="89"/>
      <c r="D44" s="89">
        <f t="shared" si="5"/>
        <v>0</v>
      </c>
      <c r="E44" s="89"/>
      <c r="F44" s="97"/>
      <c r="G44" s="41"/>
      <c r="H44" s="47"/>
      <c r="I44" s="48"/>
      <c r="J44" s="63"/>
    </row>
    <row r="45" spans="1:10" ht="30" x14ac:dyDescent="0.25">
      <c r="A45" s="15" t="s">
        <v>84</v>
      </c>
      <c r="B45" s="88">
        <f>10560+3000</f>
        <v>13560</v>
      </c>
      <c r="C45" s="89"/>
      <c r="D45" s="89">
        <f t="shared" si="5"/>
        <v>13560</v>
      </c>
      <c r="E45" s="89"/>
      <c r="F45" s="97">
        <f>SUM(C45:E45)</f>
        <v>13560</v>
      </c>
      <c r="G45" s="41"/>
      <c r="H45" s="47"/>
      <c r="I45" s="48"/>
      <c r="J45" s="63"/>
    </row>
    <row r="46" spans="1:10" s="78" customFormat="1" ht="26.1" customHeight="1" x14ac:dyDescent="0.25">
      <c r="A46" s="24" t="s">
        <v>15</v>
      </c>
      <c r="B46" s="31">
        <f>SUM(B47:B55)</f>
        <v>612089</v>
      </c>
      <c r="C46" s="25">
        <f>SUM(C47:C55)</f>
        <v>0</v>
      </c>
      <c r="D46" s="25">
        <f>SUM(D47:D55)</f>
        <v>517933</v>
      </c>
      <c r="E46" s="25">
        <f>SUM(E47:E55)</f>
        <v>94156</v>
      </c>
      <c r="F46" s="32">
        <f>SUM(F47:F55)</f>
        <v>612089</v>
      </c>
      <c r="G46" s="81">
        <v>4</v>
      </c>
      <c r="H46" s="82"/>
      <c r="I46" s="76"/>
      <c r="J46" s="77"/>
    </row>
    <row r="47" spans="1:10" x14ac:dyDescent="0.25">
      <c r="A47" s="15" t="s">
        <v>16</v>
      </c>
      <c r="B47" s="88">
        <v>379811</v>
      </c>
      <c r="C47" s="89"/>
      <c r="D47" s="89">
        <f>B47-C47-E47</f>
        <v>285655</v>
      </c>
      <c r="E47" s="89">
        <v>94156</v>
      </c>
      <c r="F47" s="97">
        <f t="shared" si="2"/>
        <v>379811</v>
      </c>
      <c r="G47" s="41" t="s">
        <v>33</v>
      </c>
      <c r="H47" s="49"/>
      <c r="I47" s="48"/>
      <c r="J47" s="63"/>
    </row>
    <row r="48" spans="1:10" x14ac:dyDescent="0.25">
      <c r="A48" s="15" t="s">
        <v>82</v>
      </c>
      <c r="B48" s="88">
        <v>144789</v>
      </c>
      <c r="C48" s="89"/>
      <c r="D48" s="89">
        <f>B48-C48-E48</f>
        <v>144789</v>
      </c>
      <c r="E48" s="89"/>
      <c r="F48" s="97">
        <f t="shared" si="2"/>
        <v>144789</v>
      </c>
      <c r="G48" s="38" t="s">
        <v>35</v>
      </c>
      <c r="H48" s="45"/>
      <c r="I48" s="46"/>
      <c r="J48" s="63"/>
    </row>
    <row r="49" spans="1:10" x14ac:dyDescent="0.25">
      <c r="A49" s="15" t="s">
        <v>113</v>
      </c>
      <c r="B49" s="88">
        <v>25000</v>
      </c>
      <c r="C49" s="89"/>
      <c r="D49" s="89">
        <v>25000</v>
      </c>
      <c r="E49" s="89"/>
      <c r="F49" s="97">
        <v>25000</v>
      </c>
      <c r="H49" s="45"/>
      <c r="I49" s="46"/>
      <c r="J49" s="63"/>
    </row>
    <row r="50" spans="1:10" ht="30" x14ac:dyDescent="0.25">
      <c r="A50" s="15" t="s">
        <v>114</v>
      </c>
      <c r="B50" s="88">
        <v>8000</v>
      </c>
      <c r="C50" s="89"/>
      <c r="D50" s="89">
        <v>8000</v>
      </c>
      <c r="E50" s="89"/>
      <c r="F50" s="97">
        <v>8000</v>
      </c>
      <c r="H50" s="45"/>
      <c r="I50" s="46"/>
      <c r="J50" s="63"/>
    </row>
    <row r="51" spans="1:10" x14ac:dyDescent="0.25">
      <c r="A51" s="15" t="s">
        <v>115</v>
      </c>
      <c r="B51" s="88">
        <v>2000</v>
      </c>
      <c r="C51" s="89"/>
      <c r="D51" s="89">
        <v>2000</v>
      </c>
      <c r="E51" s="89"/>
      <c r="F51" s="97">
        <v>2000</v>
      </c>
      <c r="H51" s="45"/>
      <c r="I51" s="46"/>
      <c r="J51" s="63"/>
    </row>
    <row r="52" spans="1:10" x14ac:dyDescent="0.25">
      <c r="A52" s="15" t="s">
        <v>105</v>
      </c>
      <c r="B52" s="88">
        <v>25000</v>
      </c>
      <c r="C52" s="89"/>
      <c r="D52" s="89">
        <v>25000</v>
      </c>
      <c r="E52" s="89"/>
      <c r="F52" s="97">
        <v>25000</v>
      </c>
      <c r="H52" s="45"/>
      <c r="I52" s="46"/>
      <c r="J52" s="63"/>
    </row>
    <row r="53" spans="1:10" hidden="1" x14ac:dyDescent="0.25">
      <c r="A53" s="15"/>
      <c r="B53" s="88"/>
      <c r="C53" s="89"/>
      <c r="D53" s="89">
        <f>B53-C53-E53</f>
        <v>0</v>
      </c>
      <c r="E53" s="89"/>
      <c r="F53" s="97"/>
      <c r="H53" s="45"/>
      <c r="I53" s="46"/>
      <c r="J53" s="63"/>
    </row>
    <row r="54" spans="1:10" ht="17.25" customHeight="1" x14ac:dyDescent="0.25">
      <c r="A54" s="15" t="s">
        <v>51</v>
      </c>
      <c r="B54" s="88">
        <v>27489</v>
      </c>
      <c r="C54" s="89"/>
      <c r="D54" s="89">
        <f>B54-C54-E54</f>
        <v>27489</v>
      </c>
      <c r="E54" s="89"/>
      <c r="F54" s="97">
        <f t="shared" si="2"/>
        <v>27489</v>
      </c>
      <c r="G54" s="38" t="s">
        <v>36</v>
      </c>
      <c r="H54" s="45"/>
      <c r="I54" s="46"/>
      <c r="J54" s="63"/>
    </row>
    <row r="55" spans="1:10" hidden="1" x14ac:dyDescent="0.25">
      <c r="A55" s="15" t="s">
        <v>52</v>
      </c>
      <c r="B55" s="88"/>
      <c r="C55" s="13"/>
      <c r="D55" s="13">
        <f>B55-C55-E55</f>
        <v>0</v>
      </c>
      <c r="E55" s="13"/>
      <c r="F55" s="14">
        <f t="shared" si="2"/>
        <v>0</v>
      </c>
      <c r="G55" s="38" t="s">
        <v>37</v>
      </c>
      <c r="H55" s="45"/>
      <c r="I55" s="46"/>
      <c r="J55" s="63"/>
    </row>
    <row r="56" spans="1:10" s="17" customFormat="1" ht="26.1" customHeight="1" x14ac:dyDescent="0.25">
      <c r="A56" s="24" t="s">
        <v>4</v>
      </c>
      <c r="B56" s="31">
        <f t="shared" ref="B56:F56" si="7">SUM(B57:B62)</f>
        <v>556478</v>
      </c>
      <c r="C56" s="25">
        <f t="shared" si="7"/>
        <v>0</v>
      </c>
      <c r="D56" s="25">
        <f t="shared" si="7"/>
        <v>556478</v>
      </c>
      <c r="E56" s="25">
        <f t="shared" si="7"/>
        <v>0</v>
      </c>
      <c r="F56" s="32">
        <f t="shared" si="7"/>
        <v>556478</v>
      </c>
      <c r="G56" s="39">
        <v>5</v>
      </c>
      <c r="H56" s="72"/>
      <c r="I56" s="73"/>
      <c r="J56" s="67"/>
    </row>
    <row r="57" spans="1:10" x14ac:dyDescent="0.25">
      <c r="A57" s="15" t="s">
        <v>17</v>
      </c>
      <c r="B57" s="88">
        <f>85951+364049</f>
        <v>450000</v>
      </c>
      <c r="C57" s="89"/>
      <c r="D57" s="89">
        <f t="shared" ref="D57:D62" si="8">B57-C57-E57</f>
        <v>450000</v>
      </c>
      <c r="E57" s="89"/>
      <c r="F57" s="97">
        <f t="shared" si="2"/>
        <v>450000</v>
      </c>
      <c r="G57" s="38" t="s">
        <v>33</v>
      </c>
      <c r="H57" s="45"/>
      <c r="I57" s="46"/>
      <c r="J57" s="63"/>
    </row>
    <row r="58" spans="1:10" ht="32.25" customHeight="1" x14ac:dyDescent="0.25">
      <c r="A58" s="15" t="s">
        <v>83</v>
      </c>
      <c r="B58" s="88">
        <v>48632</v>
      </c>
      <c r="C58" s="89"/>
      <c r="D58" s="89">
        <f t="shared" si="8"/>
        <v>48632</v>
      </c>
      <c r="E58" s="89"/>
      <c r="F58" s="97">
        <f t="shared" si="2"/>
        <v>48632</v>
      </c>
      <c r="G58" s="38" t="s">
        <v>34</v>
      </c>
      <c r="H58" s="45"/>
      <c r="I58" s="46"/>
      <c r="J58" s="63">
        <v>3000</v>
      </c>
    </row>
    <row r="59" spans="1:10" x14ac:dyDescent="0.25">
      <c r="A59" s="15" t="s">
        <v>53</v>
      </c>
      <c r="B59" s="88">
        <f>3604+469</f>
        <v>4073</v>
      </c>
      <c r="C59" s="89"/>
      <c r="D59" s="89">
        <f t="shared" si="8"/>
        <v>4073</v>
      </c>
      <c r="E59" s="89"/>
      <c r="F59" s="97">
        <f t="shared" si="2"/>
        <v>4073</v>
      </c>
      <c r="G59" s="38" t="s">
        <v>36</v>
      </c>
      <c r="H59" s="45"/>
      <c r="I59" s="46"/>
      <c r="J59" s="63"/>
    </row>
    <row r="60" spans="1:10" x14ac:dyDescent="0.25">
      <c r="A60" s="15" t="s">
        <v>87</v>
      </c>
      <c r="B60" s="88">
        <v>7913</v>
      </c>
      <c r="C60" s="89"/>
      <c r="D60" s="89">
        <f t="shared" si="8"/>
        <v>7913</v>
      </c>
      <c r="E60" s="89"/>
      <c r="F60" s="97">
        <f t="shared" si="2"/>
        <v>7913</v>
      </c>
      <c r="H60" s="45"/>
      <c r="I60" s="46"/>
      <c r="J60" s="63"/>
    </row>
    <row r="61" spans="1:10" ht="16.5" customHeight="1" x14ac:dyDescent="0.25">
      <c r="A61" s="15" t="s">
        <v>61</v>
      </c>
      <c r="B61" s="88">
        <v>22860</v>
      </c>
      <c r="C61" s="89"/>
      <c r="D61" s="89">
        <f t="shared" si="8"/>
        <v>22860</v>
      </c>
      <c r="E61" s="89"/>
      <c r="F61" s="97">
        <f t="shared" si="2"/>
        <v>22860</v>
      </c>
      <c r="G61" s="38" t="s">
        <v>38</v>
      </c>
      <c r="H61" s="45"/>
      <c r="I61" s="46"/>
      <c r="J61" s="63"/>
    </row>
    <row r="62" spans="1:10" ht="46.5" customHeight="1" x14ac:dyDescent="0.25">
      <c r="A62" s="125" t="s">
        <v>95</v>
      </c>
      <c r="B62" s="117">
        <f>8000+15000</f>
        <v>23000</v>
      </c>
      <c r="C62" s="118"/>
      <c r="D62" s="118">
        <f t="shared" si="8"/>
        <v>23000</v>
      </c>
      <c r="E62" s="118"/>
      <c r="F62" s="119">
        <f t="shared" si="2"/>
        <v>23000</v>
      </c>
      <c r="G62" s="38" t="s">
        <v>39</v>
      </c>
      <c r="H62" s="45"/>
      <c r="I62" s="46"/>
      <c r="J62" s="63"/>
    </row>
    <row r="63" spans="1:10" s="17" customFormat="1" ht="26.1" customHeight="1" x14ac:dyDescent="0.25">
      <c r="A63" s="24" t="s">
        <v>1</v>
      </c>
      <c r="B63" s="31">
        <f t="shared" ref="B63:F63" si="9">SUM(B64:B76)</f>
        <v>8384011</v>
      </c>
      <c r="C63" s="25">
        <f t="shared" si="9"/>
        <v>2000692</v>
      </c>
      <c r="D63" s="25">
        <f t="shared" si="9"/>
        <v>6182958</v>
      </c>
      <c r="E63" s="25">
        <f t="shared" si="9"/>
        <v>200361</v>
      </c>
      <c r="F63" s="32">
        <f t="shared" si="9"/>
        <v>8384011</v>
      </c>
      <c r="G63" s="39">
        <v>6</v>
      </c>
      <c r="H63" s="72"/>
      <c r="I63" s="73"/>
      <c r="J63" s="67"/>
    </row>
    <row r="64" spans="1:10" ht="30" x14ac:dyDescent="0.25">
      <c r="A64" s="15" t="s">
        <v>69</v>
      </c>
      <c r="B64" s="117">
        <f>1231900+700000+90000+564782+320925+41263-191547</f>
        <v>2757323</v>
      </c>
      <c r="C64" s="118"/>
      <c r="D64" s="118">
        <f>B64-E64</f>
        <v>2571562</v>
      </c>
      <c r="E64" s="118">
        <f>47122+138639</f>
        <v>185761</v>
      </c>
      <c r="F64" s="119">
        <f t="shared" si="2"/>
        <v>2757323</v>
      </c>
      <c r="G64" s="38" t="s">
        <v>33</v>
      </c>
      <c r="H64" s="45"/>
      <c r="I64" s="46"/>
      <c r="J64" s="63"/>
    </row>
    <row r="65" spans="1:11" x14ac:dyDescent="0.25">
      <c r="A65" s="15" t="s">
        <v>54</v>
      </c>
      <c r="B65" s="88">
        <f>405055+144682+1149960+172651</f>
        <v>1872348</v>
      </c>
      <c r="C65" s="89">
        <v>1872348</v>
      </c>
      <c r="D65" s="118"/>
      <c r="E65" s="89"/>
      <c r="F65" s="97">
        <f>SUM(C65:E65)</f>
        <v>1872348</v>
      </c>
      <c r="G65" s="38" t="s">
        <v>34</v>
      </c>
      <c r="H65" s="45"/>
      <c r="I65" s="46"/>
      <c r="J65" s="63"/>
    </row>
    <row r="66" spans="1:11" x14ac:dyDescent="0.25">
      <c r="A66" s="15" t="s">
        <v>79</v>
      </c>
      <c r="B66" s="88">
        <f>180547-25000-20000</f>
        <v>135547</v>
      </c>
      <c r="C66" s="89"/>
      <c r="D66" s="118">
        <f>B66-C66-E66</f>
        <v>120947</v>
      </c>
      <c r="E66" s="89">
        <v>14600</v>
      </c>
      <c r="F66" s="97">
        <f t="shared" si="2"/>
        <v>135547</v>
      </c>
      <c r="G66" s="38" t="s">
        <v>35</v>
      </c>
      <c r="H66" s="45"/>
      <c r="I66" s="46"/>
      <c r="J66" s="63">
        <v>20470</v>
      </c>
      <c r="K66" s="101"/>
    </row>
    <row r="67" spans="1:11" x14ac:dyDescent="0.25">
      <c r="A67" s="15" t="s">
        <v>101</v>
      </c>
      <c r="B67" s="88">
        <v>25000</v>
      </c>
      <c r="C67" s="89"/>
      <c r="D67" s="118">
        <v>25000</v>
      </c>
      <c r="E67" s="89"/>
      <c r="F67" s="97">
        <v>25000</v>
      </c>
      <c r="H67" s="45"/>
      <c r="I67" s="46"/>
      <c r="J67" s="63"/>
      <c r="K67" s="101"/>
    </row>
    <row r="68" spans="1:11" x14ac:dyDescent="0.25">
      <c r="A68" s="15" t="s">
        <v>106</v>
      </c>
      <c r="B68" s="88">
        <v>20000</v>
      </c>
      <c r="C68" s="89"/>
      <c r="D68" s="118">
        <v>20000</v>
      </c>
      <c r="E68" s="89"/>
      <c r="F68" s="97">
        <v>20000</v>
      </c>
      <c r="H68" s="45"/>
      <c r="I68" s="46"/>
      <c r="J68" s="63"/>
      <c r="K68" s="101"/>
    </row>
    <row r="69" spans="1:11" x14ac:dyDescent="0.25">
      <c r="A69" s="15" t="s">
        <v>55</v>
      </c>
      <c r="B69" s="88">
        <f>151229+2496952+3500</f>
        <v>2651681</v>
      </c>
      <c r="C69" s="89">
        <v>8300</v>
      </c>
      <c r="D69" s="89">
        <f>B69-C69</f>
        <v>2643381</v>
      </c>
      <c r="E69" s="89"/>
      <c r="F69" s="97">
        <f t="shared" si="2"/>
        <v>2651681</v>
      </c>
      <c r="G69" s="38" t="s">
        <v>36</v>
      </c>
      <c r="H69" s="45"/>
      <c r="I69" s="46"/>
      <c r="J69" s="63"/>
    </row>
    <row r="70" spans="1:11" x14ac:dyDescent="0.25">
      <c r="A70" s="15" t="s">
        <v>56</v>
      </c>
      <c r="B70" s="88">
        <f>126842-10848-92722</f>
        <v>23272</v>
      </c>
      <c r="C70" s="89"/>
      <c r="D70" s="89">
        <f>+B70</f>
        <v>23272</v>
      </c>
      <c r="E70" s="89"/>
      <c r="F70" s="97">
        <f t="shared" si="2"/>
        <v>23272</v>
      </c>
      <c r="G70" s="38" t="s">
        <v>37</v>
      </c>
      <c r="H70" s="45"/>
      <c r="I70" s="46"/>
      <c r="J70" s="63"/>
    </row>
    <row r="71" spans="1:11" x14ac:dyDescent="0.25">
      <c r="A71" s="15" t="s">
        <v>74</v>
      </c>
      <c r="B71" s="88">
        <v>10848</v>
      </c>
      <c r="C71" s="89"/>
      <c r="D71" s="89">
        <f>+B71</f>
        <v>10848</v>
      </c>
      <c r="E71" s="89"/>
      <c r="F71" s="97">
        <f t="shared" si="2"/>
        <v>10848</v>
      </c>
      <c r="H71" s="45"/>
      <c r="I71" s="46"/>
      <c r="J71" s="63"/>
    </row>
    <row r="72" spans="1:11" x14ac:dyDescent="0.25">
      <c r="A72" s="15" t="s">
        <v>85</v>
      </c>
      <c r="B72" s="88">
        <v>92722</v>
      </c>
      <c r="C72" s="89"/>
      <c r="D72" s="89">
        <f>+B72</f>
        <v>92722</v>
      </c>
      <c r="E72" s="89"/>
      <c r="F72" s="97">
        <f t="shared" si="2"/>
        <v>92722</v>
      </c>
      <c r="H72" s="45"/>
      <c r="I72" s="46"/>
      <c r="J72" s="63"/>
    </row>
    <row r="73" spans="1:11" hidden="1" x14ac:dyDescent="0.25">
      <c r="A73" s="15"/>
      <c r="B73" s="88"/>
      <c r="C73" s="89"/>
      <c r="D73" s="89"/>
      <c r="E73" s="89"/>
      <c r="F73" s="97"/>
      <c r="H73" s="45"/>
      <c r="I73" s="46"/>
      <c r="J73" s="63"/>
    </row>
    <row r="74" spans="1:11" hidden="1" x14ac:dyDescent="0.25">
      <c r="A74" s="15"/>
      <c r="B74" s="88"/>
      <c r="C74" s="89"/>
      <c r="D74" s="89"/>
      <c r="E74" s="89"/>
      <c r="F74" s="97"/>
      <c r="H74" s="45"/>
      <c r="I74" s="46"/>
      <c r="J74" s="63"/>
    </row>
    <row r="75" spans="1:11" x14ac:dyDescent="0.25">
      <c r="A75" s="15" t="s">
        <v>98</v>
      </c>
      <c r="B75" s="88">
        <f>596702-3500</f>
        <v>593202</v>
      </c>
      <c r="C75" s="89"/>
      <c r="D75" s="89">
        <f>+B75</f>
        <v>593202</v>
      </c>
      <c r="E75" s="89"/>
      <c r="F75" s="97">
        <f t="shared" si="2"/>
        <v>593202</v>
      </c>
      <c r="H75" s="45"/>
      <c r="I75" s="46"/>
      <c r="J75" s="63"/>
    </row>
    <row r="76" spans="1:11" ht="16.5" thickBot="1" x14ac:dyDescent="0.3">
      <c r="A76" s="87" t="s">
        <v>57</v>
      </c>
      <c r="B76" s="120">
        <v>202068</v>
      </c>
      <c r="C76" s="121">
        <v>120044</v>
      </c>
      <c r="D76" s="121">
        <f>B76-C76</f>
        <v>82024</v>
      </c>
      <c r="E76" s="121"/>
      <c r="F76" s="122">
        <f t="shared" si="2"/>
        <v>202068</v>
      </c>
      <c r="G76" s="38" t="s">
        <v>38</v>
      </c>
      <c r="H76" s="45"/>
      <c r="I76" s="46"/>
      <c r="J76" s="63"/>
    </row>
    <row r="77" spans="1:11" s="17" customFormat="1" ht="26.1" customHeight="1" x14ac:dyDescent="0.25">
      <c r="A77" s="24" t="s">
        <v>25</v>
      </c>
      <c r="B77" s="31">
        <f t="shared" ref="B77:F77" si="10">SUM(B78:B85)</f>
        <v>5425376</v>
      </c>
      <c r="C77" s="25">
        <f t="shared" si="10"/>
        <v>2218140</v>
      </c>
      <c r="D77" s="25">
        <f t="shared" si="10"/>
        <v>2897819</v>
      </c>
      <c r="E77" s="25">
        <f t="shared" si="10"/>
        <v>309417</v>
      </c>
      <c r="F77" s="32">
        <f t="shared" si="10"/>
        <v>5425376</v>
      </c>
      <c r="G77" s="39">
        <v>7</v>
      </c>
      <c r="H77" s="72"/>
      <c r="I77" s="73"/>
      <c r="J77" s="67"/>
    </row>
    <row r="78" spans="1:11" x14ac:dyDescent="0.25">
      <c r="A78" s="15" t="s">
        <v>70</v>
      </c>
      <c r="B78" s="88">
        <f>800000+863500+320991+139800+366771+395884+147163+64093</f>
        <v>3098202</v>
      </c>
      <c r="C78" s="89">
        <v>776000</v>
      </c>
      <c r="D78" s="89">
        <f>B78-C78-E78</f>
        <v>2012785</v>
      </c>
      <c r="E78" s="89">
        <v>309417</v>
      </c>
      <c r="F78" s="97">
        <f t="shared" ref="F78:F85" si="11">SUM(C78:E78)</f>
        <v>3098202</v>
      </c>
      <c r="G78" s="38" t="s">
        <v>33</v>
      </c>
      <c r="H78" s="45"/>
      <c r="I78" s="46"/>
      <c r="J78" s="63"/>
    </row>
    <row r="79" spans="1:11" x14ac:dyDescent="0.25">
      <c r="A79" s="15" t="s">
        <v>58</v>
      </c>
      <c r="B79" s="88">
        <f>33357+731990</f>
        <v>765347</v>
      </c>
      <c r="C79" s="89">
        <v>765347</v>
      </c>
      <c r="D79" s="89"/>
      <c r="E79" s="89"/>
      <c r="F79" s="97">
        <f t="shared" si="11"/>
        <v>765347</v>
      </c>
      <c r="G79" s="38" t="s">
        <v>34</v>
      </c>
      <c r="H79" s="45"/>
      <c r="I79" s="46"/>
      <c r="J79" s="63"/>
    </row>
    <row r="80" spans="1:11" ht="30" x14ac:dyDescent="0.25">
      <c r="A80" s="15" t="s">
        <v>109</v>
      </c>
      <c r="B80" s="90">
        <v>397849</v>
      </c>
      <c r="C80" s="91">
        <v>397849</v>
      </c>
      <c r="D80" s="91"/>
      <c r="E80" s="91"/>
      <c r="F80" s="98">
        <f t="shared" si="11"/>
        <v>397849</v>
      </c>
      <c r="G80" s="38" t="s">
        <v>35</v>
      </c>
      <c r="H80" s="45"/>
      <c r="I80" s="46"/>
      <c r="J80" s="63"/>
    </row>
    <row r="81" spans="1:11" ht="30" x14ac:dyDescent="0.25">
      <c r="A81" s="15" t="s">
        <v>110</v>
      </c>
      <c r="B81" s="90">
        <v>278944</v>
      </c>
      <c r="C81" s="91">
        <v>278944</v>
      </c>
      <c r="D81" s="91">
        <v>0</v>
      </c>
      <c r="E81" s="91"/>
      <c r="F81" s="98">
        <f t="shared" si="11"/>
        <v>278944</v>
      </c>
      <c r="H81" s="45"/>
      <c r="I81" s="46"/>
      <c r="J81" s="63"/>
    </row>
    <row r="82" spans="1:11" hidden="1" x14ac:dyDescent="0.25">
      <c r="A82" s="15"/>
      <c r="B82" s="90"/>
      <c r="C82" s="91"/>
      <c r="D82" s="91">
        <v>0</v>
      </c>
      <c r="E82" s="91"/>
      <c r="F82" s="98">
        <f t="shared" si="11"/>
        <v>0</v>
      </c>
      <c r="H82" s="45"/>
      <c r="I82" s="46"/>
      <c r="J82" s="63"/>
    </row>
    <row r="83" spans="1:11" x14ac:dyDescent="0.25">
      <c r="A83" s="15" t="s">
        <v>111</v>
      </c>
      <c r="B83" s="90">
        <v>885034</v>
      </c>
      <c r="C83" s="91"/>
      <c r="D83" s="91">
        <f>B83-C83-E83</f>
        <v>885034</v>
      </c>
      <c r="E83" s="91"/>
      <c r="F83" s="98">
        <f t="shared" si="11"/>
        <v>885034</v>
      </c>
      <c r="H83" s="45"/>
      <c r="I83" s="46"/>
      <c r="J83" s="63"/>
    </row>
    <row r="84" spans="1:11" hidden="1" x14ac:dyDescent="0.25">
      <c r="A84" s="15"/>
      <c r="B84" s="90"/>
      <c r="C84" s="91">
        <f>+B84</f>
        <v>0</v>
      </c>
      <c r="D84" s="91"/>
      <c r="E84" s="91"/>
      <c r="F84" s="98">
        <f t="shared" si="11"/>
        <v>0</v>
      </c>
      <c r="H84" s="45"/>
      <c r="I84" s="46"/>
      <c r="J84" s="63"/>
    </row>
    <row r="85" spans="1:11" ht="48" hidden="1" customHeight="1" x14ac:dyDescent="0.25">
      <c r="A85" s="15"/>
      <c r="B85" s="88"/>
      <c r="C85" s="89"/>
      <c r="D85" s="89"/>
      <c r="E85" s="89"/>
      <c r="F85" s="97">
        <f t="shared" si="11"/>
        <v>0</v>
      </c>
      <c r="H85" s="45"/>
      <c r="I85" s="46"/>
      <c r="J85" s="63"/>
    </row>
    <row r="86" spans="1:11" s="17" customFormat="1" ht="26.1" customHeight="1" x14ac:dyDescent="0.25">
      <c r="A86" s="24" t="s">
        <v>5</v>
      </c>
      <c r="B86" s="31">
        <f>SUM(B87:B93)</f>
        <v>2006554</v>
      </c>
      <c r="C86" s="111">
        <f t="shared" ref="C86:F86" si="12">SUM(C87:C93)</f>
        <v>15000</v>
      </c>
      <c r="D86" s="25">
        <f t="shared" si="12"/>
        <v>1991554</v>
      </c>
      <c r="E86" s="25">
        <f t="shared" si="12"/>
        <v>0</v>
      </c>
      <c r="F86" s="32">
        <f t="shared" si="12"/>
        <v>2006554</v>
      </c>
      <c r="G86" s="42">
        <v>8</v>
      </c>
      <c r="H86" s="54"/>
      <c r="I86" s="55"/>
      <c r="J86" s="67"/>
      <c r="K86" s="110"/>
    </row>
    <row r="87" spans="1:11" x14ac:dyDescent="0.25">
      <c r="A87" s="15" t="s">
        <v>45</v>
      </c>
      <c r="B87" s="88">
        <f>681786+269949</f>
        <v>951735</v>
      </c>
      <c r="C87" s="89"/>
      <c r="D87" s="89">
        <f>B87-C87-E87</f>
        <v>951735</v>
      </c>
      <c r="E87" s="89"/>
      <c r="F87" s="97">
        <f t="shared" ref="F87:F96" si="13">SUM(C87:E87)</f>
        <v>951735</v>
      </c>
      <c r="G87" s="41" t="s">
        <v>33</v>
      </c>
      <c r="H87" s="47"/>
      <c r="I87" s="48"/>
      <c r="J87" s="63"/>
      <c r="K87" s="101"/>
    </row>
    <row r="88" spans="1:11" x14ac:dyDescent="0.25">
      <c r="A88" s="15" t="s">
        <v>32</v>
      </c>
      <c r="B88" s="88">
        <v>833648</v>
      </c>
      <c r="C88" s="89">
        <v>15000</v>
      </c>
      <c r="D88" s="89">
        <f>B88-C88-E88</f>
        <v>818648</v>
      </c>
      <c r="E88" s="89">
        <v>0</v>
      </c>
      <c r="F88" s="97">
        <f t="shared" si="13"/>
        <v>833648</v>
      </c>
      <c r="G88" s="41"/>
      <c r="H88" s="47">
        <v>127</v>
      </c>
      <c r="I88" s="13">
        <v>212018</v>
      </c>
      <c r="J88" s="63"/>
    </row>
    <row r="89" spans="1:11" x14ac:dyDescent="0.25">
      <c r="A89" s="15" t="s">
        <v>103</v>
      </c>
      <c r="B89" s="88">
        <v>15000</v>
      </c>
      <c r="C89" s="89"/>
      <c r="D89" s="89">
        <v>15000</v>
      </c>
      <c r="E89" s="89"/>
      <c r="F89" s="97">
        <v>15000</v>
      </c>
      <c r="G89" s="41"/>
      <c r="H89" s="47"/>
      <c r="I89" s="13"/>
      <c r="J89" s="63"/>
    </row>
    <row r="90" spans="1:11" x14ac:dyDescent="0.25">
      <c r="A90" s="15" t="s">
        <v>112</v>
      </c>
      <c r="B90" s="88">
        <f>46111+62213</f>
        <v>108324</v>
      </c>
      <c r="C90" s="89"/>
      <c r="D90" s="89">
        <f>B90-C90-E90</f>
        <v>108324</v>
      </c>
      <c r="E90" s="89"/>
      <c r="F90" s="97">
        <f t="shared" si="13"/>
        <v>108324</v>
      </c>
      <c r="G90" s="41" t="s">
        <v>34</v>
      </c>
      <c r="H90" s="47"/>
      <c r="I90" s="48"/>
      <c r="J90" s="63"/>
    </row>
    <row r="91" spans="1:11" x14ac:dyDescent="0.25">
      <c r="A91" s="15" t="s">
        <v>67</v>
      </c>
      <c r="B91" s="88">
        <f>47847-24850</f>
        <v>22997</v>
      </c>
      <c r="C91" s="89"/>
      <c r="D91" s="89">
        <f>B91-C91-E91</f>
        <v>22997</v>
      </c>
      <c r="E91" s="89"/>
      <c r="F91" s="97">
        <f t="shared" si="13"/>
        <v>22997</v>
      </c>
      <c r="G91" s="41" t="s">
        <v>35</v>
      </c>
      <c r="H91" s="47"/>
      <c r="I91" s="48"/>
      <c r="J91" s="63"/>
    </row>
    <row r="92" spans="1:11" x14ac:dyDescent="0.25">
      <c r="A92" s="15" t="s">
        <v>104</v>
      </c>
      <c r="B92" s="88">
        <v>50000</v>
      </c>
      <c r="C92" s="89"/>
      <c r="D92" s="89">
        <v>50000</v>
      </c>
      <c r="E92" s="89"/>
      <c r="F92" s="97">
        <v>50000</v>
      </c>
      <c r="G92" s="41"/>
      <c r="H92" s="47"/>
      <c r="I92" s="48"/>
      <c r="J92" s="63"/>
    </row>
    <row r="93" spans="1:11" ht="30" x14ac:dyDescent="0.25">
      <c r="A93" s="15" t="s">
        <v>86</v>
      </c>
      <c r="B93" s="88">
        <f>21991+2859</f>
        <v>24850</v>
      </c>
      <c r="C93" s="89"/>
      <c r="D93" s="89">
        <f>B93-C93-E93</f>
        <v>24850</v>
      </c>
      <c r="E93" s="89"/>
      <c r="F93" s="97">
        <f t="shared" si="13"/>
        <v>24850</v>
      </c>
      <c r="G93" s="41"/>
      <c r="H93" s="47"/>
      <c r="I93" s="48"/>
      <c r="J93" s="63"/>
    </row>
    <row r="94" spans="1:11" s="17" customFormat="1" ht="26.1" customHeight="1" x14ac:dyDescent="0.25">
      <c r="A94" s="24" t="s">
        <v>26</v>
      </c>
      <c r="B94" s="31">
        <f>SUM(B95:B97)</f>
        <v>22600</v>
      </c>
      <c r="C94" s="25">
        <f>SUM(C95:C97)</f>
        <v>0</v>
      </c>
      <c r="D94" s="25">
        <f>SUM(D95:D97)</f>
        <v>22600</v>
      </c>
      <c r="E94" s="25">
        <f>SUM(E95:E97)</f>
        <v>0</v>
      </c>
      <c r="F94" s="32">
        <f>SUM(F95:F97)</f>
        <v>22600</v>
      </c>
      <c r="G94" s="39">
        <v>10</v>
      </c>
      <c r="H94" s="72"/>
      <c r="I94" s="73"/>
      <c r="J94" s="67"/>
    </row>
    <row r="95" spans="1:11" x14ac:dyDescent="0.25">
      <c r="A95" s="15" t="s">
        <v>20</v>
      </c>
      <c r="B95" s="88">
        <v>17600</v>
      </c>
      <c r="C95" s="89"/>
      <c r="D95" s="89">
        <f>B95-C95-E95</f>
        <v>17600</v>
      </c>
      <c r="E95" s="89"/>
      <c r="F95" s="97">
        <f t="shared" si="13"/>
        <v>17600</v>
      </c>
      <c r="G95" s="38" t="s">
        <v>33</v>
      </c>
      <c r="H95" s="45"/>
      <c r="I95" s="46"/>
      <c r="J95" s="63"/>
    </row>
    <row r="96" spans="1:11" x14ac:dyDescent="0.25">
      <c r="A96" s="15" t="s">
        <v>96</v>
      </c>
      <c r="B96" s="88">
        <v>3000</v>
      </c>
      <c r="C96" s="89"/>
      <c r="D96" s="89">
        <f>B96-C96-E96</f>
        <v>3000</v>
      </c>
      <c r="E96" s="89"/>
      <c r="F96" s="97">
        <f t="shared" si="13"/>
        <v>3000</v>
      </c>
      <c r="H96" s="45"/>
      <c r="I96" s="46"/>
      <c r="J96" s="63"/>
    </row>
    <row r="97" spans="1:10" x14ac:dyDescent="0.25">
      <c r="A97" s="15" t="s">
        <v>68</v>
      </c>
      <c r="B97" s="88">
        <v>2000</v>
      </c>
      <c r="C97" s="89"/>
      <c r="D97" s="89">
        <f>B97-C97-E97</f>
        <v>2000</v>
      </c>
      <c r="E97" s="89"/>
      <c r="F97" s="97">
        <f>+D97</f>
        <v>2000</v>
      </c>
      <c r="H97" s="45"/>
      <c r="I97" s="46"/>
      <c r="J97" s="63"/>
    </row>
    <row r="98" spans="1:10" s="17" customFormat="1" ht="26.1" customHeight="1" x14ac:dyDescent="0.25">
      <c r="A98" s="24" t="s">
        <v>14</v>
      </c>
      <c r="B98" s="31">
        <f t="shared" ref="B98:F98" si="14">SUM(B99:B102)</f>
        <v>5620151</v>
      </c>
      <c r="C98" s="25">
        <f t="shared" si="14"/>
        <v>77777</v>
      </c>
      <c r="D98" s="25">
        <f t="shared" si="14"/>
        <v>4560323</v>
      </c>
      <c r="E98" s="25">
        <f t="shared" si="14"/>
        <v>982051</v>
      </c>
      <c r="F98" s="32">
        <f t="shared" si="14"/>
        <v>5620151</v>
      </c>
      <c r="G98" s="39">
        <v>11</v>
      </c>
      <c r="H98" s="72"/>
      <c r="I98" s="73"/>
      <c r="J98" s="67"/>
    </row>
    <row r="99" spans="1:10" x14ac:dyDescent="0.25">
      <c r="A99" s="15" t="s">
        <v>27</v>
      </c>
      <c r="B99" s="88">
        <v>5144469</v>
      </c>
      <c r="C99" s="89">
        <v>11800</v>
      </c>
      <c r="D99" s="89">
        <f>+B99-C99-E99</f>
        <v>4150618</v>
      </c>
      <c r="E99" s="89">
        <v>982051</v>
      </c>
      <c r="F99" s="97">
        <f t="shared" ref="F99:F104" si="15">SUM(C99:E99)</f>
        <v>5144469</v>
      </c>
      <c r="G99" s="41" t="s">
        <v>34</v>
      </c>
      <c r="H99" s="47">
        <f>230669-229175</f>
        <v>1494</v>
      </c>
      <c r="I99" s="13">
        <f>1405694-41106</f>
        <v>1364588</v>
      </c>
      <c r="J99" s="63">
        <v>7912</v>
      </c>
    </row>
    <row r="100" spans="1:10" ht="30" x14ac:dyDescent="0.25">
      <c r="A100" s="15" t="s">
        <v>22</v>
      </c>
      <c r="B100" s="90">
        <v>409705</v>
      </c>
      <c r="C100" s="91"/>
      <c r="D100" s="91">
        <f>+B100</f>
        <v>409705</v>
      </c>
      <c r="E100" s="91"/>
      <c r="F100" s="98">
        <f t="shared" si="15"/>
        <v>409705</v>
      </c>
      <c r="G100" s="41" t="s">
        <v>35</v>
      </c>
      <c r="H100" s="47"/>
      <c r="I100" s="48"/>
      <c r="J100" s="63"/>
    </row>
    <row r="101" spans="1:10" x14ac:dyDescent="0.25">
      <c r="A101" s="15" t="s">
        <v>59</v>
      </c>
      <c r="B101" s="88">
        <v>3028</v>
      </c>
      <c r="C101" s="89">
        <v>3028</v>
      </c>
      <c r="D101" s="91">
        <v>0</v>
      </c>
      <c r="E101" s="89"/>
      <c r="F101" s="97">
        <f t="shared" si="15"/>
        <v>3028</v>
      </c>
      <c r="G101" s="41" t="s">
        <v>36</v>
      </c>
      <c r="H101" s="47"/>
      <c r="I101" s="48"/>
      <c r="J101" s="63"/>
    </row>
    <row r="102" spans="1:10" x14ac:dyDescent="0.25">
      <c r="A102" s="15" t="s">
        <v>60</v>
      </c>
      <c r="B102" s="88">
        <f>2255+34498+19611+800+2805+2980</f>
        <v>62949</v>
      </c>
      <c r="C102" s="89">
        <v>62949</v>
      </c>
      <c r="D102" s="89"/>
      <c r="E102" s="89"/>
      <c r="F102" s="97">
        <f>SUM(C102:E102)</f>
        <v>62949</v>
      </c>
      <c r="G102" s="38" t="s">
        <v>37</v>
      </c>
      <c r="H102" s="45"/>
      <c r="I102" s="46"/>
      <c r="J102" s="63"/>
    </row>
    <row r="103" spans="1:10" s="17" customFormat="1" ht="26.1" customHeight="1" x14ac:dyDescent="0.25">
      <c r="A103" s="24" t="s">
        <v>28</v>
      </c>
      <c r="B103" s="31">
        <f t="shared" ref="B103:F103" si="16">SUM(B104:B121)</f>
        <v>3656659</v>
      </c>
      <c r="C103" s="25">
        <f t="shared" si="16"/>
        <v>0</v>
      </c>
      <c r="D103" s="25">
        <f>SUM(D104:D121)</f>
        <v>3656659</v>
      </c>
      <c r="E103" s="25">
        <f t="shared" si="16"/>
        <v>0</v>
      </c>
      <c r="F103" s="32">
        <f t="shared" si="16"/>
        <v>3656659</v>
      </c>
      <c r="G103" s="39">
        <v>12</v>
      </c>
      <c r="H103" s="72"/>
      <c r="I103" s="73"/>
      <c r="J103" s="67"/>
    </row>
    <row r="104" spans="1:10" x14ac:dyDescent="0.25">
      <c r="A104" s="15" t="s">
        <v>18</v>
      </c>
      <c r="B104" s="88">
        <v>389509</v>
      </c>
      <c r="C104" s="89"/>
      <c r="D104" s="89">
        <f>B104-C104-E104</f>
        <v>389509</v>
      </c>
      <c r="E104" s="89"/>
      <c r="F104" s="97">
        <f t="shared" si="15"/>
        <v>389509</v>
      </c>
      <c r="G104" s="38" t="s">
        <v>33</v>
      </c>
      <c r="H104" s="45"/>
      <c r="I104" s="46"/>
      <c r="J104" s="63"/>
    </row>
    <row r="105" spans="1:10" s="16" customFormat="1" ht="30" x14ac:dyDescent="0.25">
      <c r="A105" s="15" t="s">
        <v>71</v>
      </c>
      <c r="B105" s="88">
        <f>2493788-25000-8000</f>
        <v>2460788</v>
      </c>
      <c r="C105" s="89"/>
      <c r="D105" s="89">
        <f>B105-E105</f>
        <v>2460788</v>
      </c>
      <c r="E105" s="89"/>
      <c r="F105" s="97">
        <f>SUM(C105:E105)</f>
        <v>2460788</v>
      </c>
      <c r="G105" s="38" t="s">
        <v>34</v>
      </c>
      <c r="H105" s="50"/>
      <c r="I105" s="51"/>
      <c r="J105" s="66"/>
    </row>
    <row r="106" spans="1:10" x14ac:dyDescent="0.25">
      <c r="A106" s="15" t="s">
        <v>19</v>
      </c>
      <c r="B106" s="88">
        <f>76051</f>
        <v>76051</v>
      </c>
      <c r="C106" s="89"/>
      <c r="D106" s="89">
        <f t="shared" ref="D106:D121" si="17">B106-C106-E106</f>
        <v>76051</v>
      </c>
      <c r="E106" s="89"/>
      <c r="F106" s="97">
        <f>SUM(C106:E106)</f>
        <v>76051</v>
      </c>
      <c r="G106" s="41" t="s">
        <v>36</v>
      </c>
      <c r="H106" s="47"/>
      <c r="I106" s="48"/>
      <c r="J106" s="63"/>
    </row>
    <row r="107" spans="1:10" ht="30" x14ac:dyDescent="0.25">
      <c r="A107" s="15" t="s">
        <v>21</v>
      </c>
      <c r="B107" s="90">
        <f>76461+24550-15000+6500+8800+8000-2000-27000</f>
        <v>80311</v>
      </c>
      <c r="C107" s="91"/>
      <c r="D107" s="91">
        <f t="shared" si="17"/>
        <v>80311</v>
      </c>
      <c r="E107" s="91"/>
      <c r="F107" s="98">
        <f>SUM(C107:E107)</f>
        <v>80311</v>
      </c>
      <c r="G107" s="41" t="s">
        <v>37</v>
      </c>
      <c r="H107" s="47"/>
      <c r="I107" s="48"/>
      <c r="J107" s="63"/>
    </row>
    <row r="108" spans="1:10" ht="29.45" hidden="1" customHeight="1" x14ac:dyDescent="0.25">
      <c r="A108" s="15"/>
      <c r="B108" s="88"/>
      <c r="C108" s="89"/>
      <c r="D108" s="91">
        <f t="shared" si="17"/>
        <v>0</v>
      </c>
      <c r="E108" s="89"/>
      <c r="F108" s="97">
        <f>SUM(C108:E108)</f>
        <v>0</v>
      </c>
      <c r="G108" s="41" t="s">
        <v>39</v>
      </c>
      <c r="H108" s="47"/>
      <c r="I108" s="48"/>
      <c r="J108" s="63"/>
    </row>
    <row r="109" spans="1:10" x14ac:dyDescent="0.25">
      <c r="A109" s="99" t="s">
        <v>75</v>
      </c>
      <c r="B109" s="88">
        <v>30000</v>
      </c>
      <c r="C109" s="89"/>
      <c r="D109" s="91">
        <f t="shared" si="17"/>
        <v>30000</v>
      </c>
      <c r="E109" s="89"/>
      <c r="F109" s="97">
        <f t="shared" ref="F109:F121" si="18">SUM(C109:E109)</f>
        <v>30000</v>
      </c>
      <c r="G109" s="41"/>
      <c r="H109" s="47"/>
      <c r="I109" s="48"/>
      <c r="J109" s="63"/>
    </row>
    <row r="110" spans="1:10" hidden="1" x14ac:dyDescent="0.25">
      <c r="A110" s="99"/>
      <c r="B110" s="88"/>
      <c r="C110" s="89"/>
      <c r="D110" s="91">
        <f t="shared" si="17"/>
        <v>0</v>
      </c>
      <c r="E110" s="89"/>
      <c r="F110" s="97">
        <f t="shared" si="18"/>
        <v>0</v>
      </c>
      <c r="G110" s="41"/>
      <c r="H110" s="47"/>
      <c r="I110" s="48"/>
      <c r="J110" s="63"/>
    </row>
    <row r="111" spans="1:10" x14ac:dyDescent="0.25">
      <c r="A111" s="99" t="s">
        <v>97</v>
      </c>
      <c r="B111" s="88">
        <v>5000</v>
      </c>
      <c r="C111" s="89"/>
      <c r="D111" s="91">
        <f t="shared" si="17"/>
        <v>5000</v>
      </c>
      <c r="E111" s="89"/>
      <c r="F111" s="97">
        <f t="shared" si="18"/>
        <v>5000</v>
      </c>
      <c r="G111" s="41"/>
      <c r="H111" s="47"/>
      <c r="I111" s="48"/>
      <c r="J111" s="63"/>
    </row>
    <row r="112" spans="1:10" hidden="1" x14ac:dyDescent="0.25">
      <c r="A112" s="99"/>
      <c r="B112" s="88"/>
      <c r="C112" s="89"/>
      <c r="D112" s="91"/>
      <c r="E112" s="89"/>
      <c r="F112" s="97"/>
      <c r="G112" s="41"/>
      <c r="H112" s="47"/>
      <c r="I112" s="48"/>
      <c r="J112" s="63"/>
    </row>
    <row r="113" spans="1:10" x14ac:dyDescent="0.25">
      <c r="A113" s="99" t="s">
        <v>76</v>
      </c>
      <c r="B113" s="88">
        <v>80000</v>
      </c>
      <c r="C113" s="89"/>
      <c r="D113" s="91">
        <f t="shared" si="17"/>
        <v>80000</v>
      </c>
      <c r="E113" s="89"/>
      <c r="F113" s="97">
        <f t="shared" si="18"/>
        <v>80000</v>
      </c>
      <c r="G113" s="41"/>
      <c r="H113" s="47"/>
      <c r="I113" s="48"/>
      <c r="J113" s="63"/>
    </row>
    <row r="114" spans="1:10" hidden="1" x14ac:dyDescent="0.25">
      <c r="A114" s="99"/>
      <c r="B114" s="88"/>
      <c r="C114" s="89"/>
      <c r="D114" s="91">
        <f t="shared" si="17"/>
        <v>0</v>
      </c>
      <c r="E114" s="89"/>
      <c r="F114" s="97">
        <f t="shared" si="18"/>
        <v>0</v>
      </c>
      <c r="G114" s="41"/>
      <c r="H114" s="47"/>
      <c r="I114" s="48"/>
      <c r="J114" s="63"/>
    </row>
    <row r="115" spans="1:10" ht="39" customHeight="1" x14ac:dyDescent="0.25">
      <c r="A115" s="126" t="s">
        <v>107</v>
      </c>
      <c r="B115" s="88">
        <v>55000</v>
      </c>
      <c r="C115" s="89"/>
      <c r="D115" s="91">
        <f t="shared" si="17"/>
        <v>55000</v>
      </c>
      <c r="E115" s="89"/>
      <c r="F115" s="97">
        <f t="shared" si="18"/>
        <v>55000</v>
      </c>
      <c r="G115" s="41"/>
      <c r="H115" s="47"/>
      <c r="I115" s="48"/>
      <c r="J115" s="63"/>
    </row>
    <row r="116" spans="1:10" hidden="1" x14ac:dyDescent="0.25">
      <c r="A116" s="99"/>
      <c r="B116" s="88"/>
      <c r="C116" s="89"/>
      <c r="D116" s="91">
        <f t="shared" si="17"/>
        <v>0</v>
      </c>
      <c r="E116" s="89"/>
      <c r="F116" s="97">
        <f t="shared" si="18"/>
        <v>0</v>
      </c>
      <c r="G116" s="41"/>
      <c r="H116" s="47"/>
      <c r="I116" s="48"/>
      <c r="J116" s="63"/>
    </row>
    <row r="117" spans="1:10" ht="30.6" hidden="1" customHeight="1" x14ac:dyDescent="0.25">
      <c r="A117" s="99"/>
      <c r="B117" s="88"/>
      <c r="C117" s="89"/>
      <c r="D117" s="91">
        <f t="shared" si="17"/>
        <v>0</v>
      </c>
      <c r="E117" s="89"/>
      <c r="F117" s="97">
        <f t="shared" si="18"/>
        <v>0</v>
      </c>
      <c r="G117" s="41"/>
      <c r="H117" s="47"/>
      <c r="I117" s="48"/>
      <c r="J117" s="63"/>
    </row>
    <row r="118" spans="1:10" x14ac:dyDescent="0.25">
      <c r="A118" s="99" t="s">
        <v>108</v>
      </c>
      <c r="B118" s="88">
        <v>70000</v>
      </c>
      <c r="C118" s="89"/>
      <c r="D118" s="91">
        <f t="shared" si="17"/>
        <v>70000</v>
      </c>
      <c r="E118" s="89"/>
      <c r="F118" s="97">
        <f t="shared" si="18"/>
        <v>70000</v>
      </c>
      <c r="G118" s="41"/>
      <c r="H118" s="47"/>
      <c r="I118" s="48"/>
      <c r="J118" s="63"/>
    </row>
    <row r="119" spans="1:10" ht="47.25" customHeight="1" x14ac:dyDescent="0.25">
      <c r="A119" s="126" t="s">
        <v>78</v>
      </c>
      <c r="B119" s="124">
        <v>10000</v>
      </c>
      <c r="C119" s="118"/>
      <c r="D119" s="118">
        <f t="shared" si="17"/>
        <v>10000</v>
      </c>
      <c r="E119" s="118"/>
      <c r="F119" s="119">
        <f t="shared" si="18"/>
        <v>10000</v>
      </c>
      <c r="G119" s="41"/>
      <c r="H119" s="47"/>
      <c r="I119" s="48"/>
      <c r="J119" s="63"/>
    </row>
    <row r="120" spans="1:10" ht="30" hidden="1" customHeight="1" x14ac:dyDescent="0.25">
      <c r="A120" s="99"/>
      <c r="B120" s="88"/>
      <c r="C120" s="89"/>
      <c r="D120" s="91"/>
      <c r="E120" s="89"/>
      <c r="F120" s="97"/>
      <c r="G120" s="41"/>
      <c r="H120" s="47"/>
      <c r="I120" s="48"/>
      <c r="J120" s="63"/>
    </row>
    <row r="121" spans="1:10" x14ac:dyDescent="0.25">
      <c r="A121" s="112" t="s">
        <v>73</v>
      </c>
      <c r="B121" s="113">
        <v>400000</v>
      </c>
      <c r="C121" s="114"/>
      <c r="D121" s="115">
        <f t="shared" si="17"/>
        <v>400000</v>
      </c>
      <c r="E121" s="114"/>
      <c r="F121" s="116">
        <f t="shared" si="18"/>
        <v>400000</v>
      </c>
      <c r="G121" s="41"/>
      <c r="H121" s="47"/>
      <c r="I121" s="48"/>
      <c r="J121" s="63"/>
    </row>
    <row r="122" spans="1:10" s="17" customFormat="1" ht="79.900000000000006" customHeight="1" x14ac:dyDescent="0.25">
      <c r="A122" s="18" t="s">
        <v>89</v>
      </c>
      <c r="B122" s="105">
        <v>2000000</v>
      </c>
      <c r="C122" s="19"/>
      <c r="D122" s="19">
        <f>+B122-C122</f>
        <v>2000000</v>
      </c>
      <c r="E122" s="19"/>
      <c r="F122" s="20">
        <f>SUM(C122:E122)</f>
        <v>2000000</v>
      </c>
      <c r="G122" s="42">
        <v>14</v>
      </c>
      <c r="H122" s="52"/>
      <c r="I122" s="53"/>
      <c r="J122" s="67"/>
    </row>
    <row r="123" spans="1:10" s="17" customFormat="1" x14ac:dyDescent="0.25">
      <c r="A123" s="21"/>
      <c r="B123" s="100"/>
      <c r="C123" s="22"/>
      <c r="D123" s="22"/>
      <c r="E123" s="22"/>
      <c r="F123" s="23"/>
      <c r="G123" s="42"/>
      <c r="H123" s="52"/>
      <c r="I123" s="53"/>
      <c r="J123" s="67"/>
    </row>
    <row r="124" spans="1:10" s="17" customFormat="1" x14ac:dyDescent="0.25">
      <c r="A124" s="106" t="s">
        <v>88</v>
      </c>
      <c r="B124" s="107">
        <v>18819850</v>
      </c>
      <c r="C124" s="108"/>
      <c r="D124" s="108">
        <f>B124-C124-E124</f>
        <v>18819850</v>
      </c>
      <c r="E124" s="108"/>
      <c r="F124" s="109">
        <f>SUM(C124:E124)</f>
        <v>18819850</v>
      </c>
      <c r="G124" s="42">
        <v>15</v>
      </c>
      <c r="H124" s="52"/>
      <c r="I124" s="53"/>
      <c r="J124" s="67"/>
    </row>
    <row r="125" spans="1:10" s="17" customFormat="1" x14ac:dyDescent="0.25">
      <c r="A125" s="26"/>
      <c r="B125" s="27"/>
      <c r="C125" s="28"/>
      <c r="D125" s="28"/>
      <c r="E125" s="29"/>
      <c r="F125" s="30"/>
      <c r="G125" s="42"/>
      <c r="H125" s="52"/>
      <c r="I125" s="53"/>
      <c r="J125" s="67"/>
    </row>
    <row r="126" spans="1:10" s="17" customFormat="1" ht="36" customHeight="1" x14ac:dyDescent="0.25">
      <c r="A126" s="24" t="s">
        <v>31</v>
      </c>
      <c r="B126" s="104">
        <v>-18819850</v>
      </c>
      <c r="C126" s="25"/>
      <c r="D126" s="25">
        <f>B126-C126-E126</f>
        <v>-18819850</v>
      </c>
      <c r="E126" s="25"/>
      <c r="F126" s="32">
        <f>SUM(C126:E126)</f>
        <v>-18819850</v>
      </c>
      <c r="G126" s="42"/>
      <c r="H126" s="135" t="s">
        <v>43</v>
      </c>
      <c r="I126" s="136"/>
      <c r="J126" s="67">
        <f>B126-F126</f>
        <v>0</v>
      </c>
    </row>
    <row r="127" spans="1:10" ht="16.5" thickBot="1" x14ac:dyDescent="0.3">
      <c r="A127" s="83"/>
      <c r="B127" s="84"/>
      <c r="C127" s="85"/>
      <c r="D127" s="85"/>
      <c r="E127" s="85"/>
      <c r="F127" s="86"/>
      <c r="G127" s="41"/>
      <c r="H127" s="135"/>
      <c r="I127" s="136"/>
      <c r="J127" s="63"/>
    </row>
    <row r="128" spans="1:10" s="37" customFormat="1" ht="42" customHeight="1" thickBot="1" x14ac:dyDescent="0.3">
      <c r="A128" s="33" t="s">
        <v>30</v>
      </c>
      <c r="B128" s="34">
        <f>SUM(B8,B19,B35,B46,B56,B63,B77,B86,B94,B98,B103,B122)+B124+B126</f>
        <v>55354644</v>
      </c>
      <c r="C128" s="35">
        <f>SUM(C8+C19+C35+C46+C56+C63+C77+C86+C94+C98+C103+C122+C124+C126)</f>
        <v>6126203</v>
      </c>
      <c r="D128" s="35">
        <f>SUM(D8+D19+D35+D46+D56+D63+D77+D86+D94+D98+D103+D122+D124+D126)</f>
        <v>35035248</v>
      </c>
      <c r="E128" s="35">
        <f>SUM(E8+E19+E35+E46+E56+E63+E77+E86+E94+E98+E103+E122+E124+E126)</f>
        <v>14193193</v>
      </c>
      <c r="F128" s="36">
        <f>SUM(F8,F19,F35,F46,F56,F63,F77,F86,F94,F98,F103,F122)+F124+F126</f>
        <v>55354644</v>
      </c>
      <c r="G128" s="42"/>
      <c r="H128" s="56">
        <f>SUM(H8:H127)-1</f>
        <v>2676350</v>
      </c>
      <c r="I128" s="57">
        <f>SUM(I8:I127)</f>
        <v>3597487</v>
      </c>
      <c r="J128" s="68">
        <f>SUM(H128:I128)</f>
        <v>6273837</v>
      </c>
    </row>
    <row r="129" spans="1:13" x14ac:dyDescent="0.25">
      <c r="F129" s="2">
        <f>+B129-F128</f>
        <v>-55354644</v>
      </c>
    </row>
    <row r="130" spans="1:13" ht="15" x14ac:dyDescent="0.25">
      <c r="A130" s="70" t="s">
        <v>44</v>
      </c>
      <c r="B130" s="2">
        <f>B129-B128</f>
        <v>-55354644</v>
      </c>
      <c r="G130" s="127" t="s">
        <v>44</v>
      </c>
      <c r="H130" s="127"/>
      <c r="I130" s="127"/>
      <c r="J130" s="127"/>
      <c r="K130" s="127"/>
      <c r="L130" s="127"/>
      <c r="M130" s="127"/>
    </row>
    <row r="131" spans="1:13" x14ac:dyDescent="0.25">
      <c r="B131" s="2">
        <f>B124+B126</f>
        <v>0</v>
      </c>
    </row>
    <row r="132" spans="1:13" x14ac:dyDescent="0.25">
      <c r="J132" s="60">
        <f>SUM(J8:J125)</f>
        <v>1273495</v>
      </c>
    </row>
    <row r="133" spans="1:13" x14ac:dyDescent="0.25">
      <c r="J133" s="60">
        <f>E124+1</f>
        <v>1</v>
      </c>
    </row>
    <row r="134" spans="1:13" x14ac:dyDescent="0.25">
      <c r="J134" s="60">
        <f>SUM(J132:J133)</f>
        <v>1273496</v>
      </c>
    </row>
    <row r="135" spans="1:13" x14ac:dyDescent="0.25">
      <c r="J135" s="60">
        <f>E128</f>
        <v>14193193</v>
      </c>
    </row>
    <row r="136" spans="1:13" x14ac:dyDescent="0.25">
      <c r="J136" s="60">
        <f>J135-J134</f>
        <v>12919697</v>
      </c>
    </row>
  </sheetData>
  <mergeCells count="6">
    <mergeCell ref="G130:M130"/>
    <mergeCell ref="A3:F3"/>
    <mergeCell ref="B6:B7"/>
    <mergeCell ref="C6:F6"/>
    <mergeCell ref="H6:I6"/>
    <mergeCell ref="H126:I127"/>
  </mergeCells>
  <pageMargins left="0.70866141732283472" right="0.70866141732283472" top="0.74803149606299213" bottom="0.74803149606299213" header="0.31496062992125984" footer="0.31496062992125984"/>
  <pageSetup paperSize="8" scale="81" firstPageNumber="102" fitToHeight="0" orientation="portrait" useFirstPageNumber="1" r:id="rId1"/>
  <headerFooter>
    <oddFooter>&amp;C&amp;P</oddFooter>
  </headerFooter>
  <rowBreaks count="1" manualBreakCount="1">
    <brk id="7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FELADATOS CSOPORTOSÍTÁS</vt:lpstr>
      <vt:lpstr>'FELADATOS CSOPORTOSÍTÁS'!Nyomtatási_cím</vt:lpstr>
      <vt:lpstr>'FELADATOS CSOPORTOSÍTÁS'!Nyomtatási_terület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2025-02-13T09:59:57Z</cp:lastPrinted>
  <dcterms:created xsi:type="dcterms:W3CDTF">2017-02-08T08:17:47Z</dcterms:created>
  <dcterms:modified xsi:type="dcterms:W3CDTF">2025-02-13T10:00:01Z</dcterms:modified>
</cp:coreProperties>
</file>